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90" windowWidth="17280" windowHeight="9630"/>
  </bookViews>
  <sheets>
    <sheet name="魔力の結晶計算機" sheetId="1" r:id="rId1"/>
    <sheet name="計算データ" sheetId="2" state="hidden" r:id="rId2"/>
  </sheets>
  <calcPr calcId="125725"/>
</workbook>
</file>

<file path=xl/calcChain.xml><?xml version="1.0" encoding="utf-8"?>
<calcChain xmlns="http://schemas.openxmlformats.org/spreadsheetml/2006/main">
  <c r="O15" i="1"/>
  <c r="E10" s="1"/>
  <c r="J3" i="2" s="1"/>
  <c r="C104" l="1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AA44"/>
  <c r="I44"/>
  <c r="E44"/>
  <c r="C44"/>
  <c r="C54" s="1"/>
  <c r="C64" s="1"/>
  <c r="C74" s="1"/>
  <c r="C84" s="1"/>
  <c r="C94" s="1"/>
  <c r="AA43"/>
  <c r="I43"/>
  <c r="E43"/>
  <c r="C43"/>
  <c r="C53" s="1"/>
  <c r="C63" s="1"/>
  <c r="C73" s="1"/>
  <c r="C83" s="1"/>
  <c r="C93" s="1"/>
  <c r="C103" s="1"/>
  <c r="AA42"/>
  <c r="I42"/>
  <c r="E42"/>
  <c r="I41"/>
  <c r="E41"/>
  <c r="I40"/>
  <c r="E40"/>
  <c r="C40"/>
  <c r="C50" s="1"/>
  <c r="C60" s="1"/>
  <c r="C70" s="1"/>
  <c r="C80" s="1"/>
  <c r="C90" s="1"/>
  <c r="C100" s="1"/>
  <c r="I39"/>
  <c r="E39"/>
  <c r="C39"/>
  <c r="C49" s="1"/>
  <c r="C59" s="1"/>
  <c r="C69" s="1"/>
  <c r="C79" s="1"/>
  <c r="C89" s="1"/>
  <c r="C99" s="1"/>
  <c r="I38"/>
  <c r="E38"/>
  <c r="C38"/>
  <c r="C48" s="1"/>
  <c r="C58" s="1"/>
  <c r="C68" s="1"/>
  <c r="C78" s="1"/>
  <c r="C88" s="1"/>
  <c r="C98" s="1"/>
  <c r="E37"/>
  <c r="E36"/>
  <c r="E35"/>
  <c r="C35"/>
  <c r="C45" s="1"/>
  <c r="C55" s="1"/>
  <c r="C65" s="1"/>
  <c r="C75" s="1"/>
  <c r="C85" s="1"/>
  <c r="C95" s="1"/>
  <c r="AM34"/>
  <c r="E34"/>
  <c r="C34"/>
  <c r="E33"/>
  <c r="C33"/>
  <c r="E32"/>
  <c r="C32"/>
  <c r="C42" s="1"/>
  <c r="C52" s="1"/>
  <c r="C62" s="1"/>
  <c r="C72" s="1"/>
  <c r="C82" s="1"/>
  <c r="C92" s="1"/>
  <c r="C102" s="1"/>
  <c r="E31"/>
  <c r="C31"/>
  <c r="C41" s="1"/>
  <c r="C51" s="1"/>
  <c r="C61" s="1"/>
  <c r="C71" s="1"/>
  <c r="C81" s="1"/>
  <c r="C91" s="1"/>
  <c r="C101" s="1"/>
  <c r="E30"/>
  <c r="C30"/>
  <c r="E29"/>
  <c r="C29"/>
  <c r="E28"/>
  <c r="C28"/>
  <c r="AA27"/>
  <c r="E27"/>
  <c r="C27"/>
  <c r="C37" s="1"/>
  <c r="C47" s="1"/>
  <c r="C57" s="1"/>
  <c r="C67" s="1"/>
  <c r="C77" s="1"/>
  <c r="C87" s="1"/>
  <c r="C97" s="1"/>
  <c r="AA26"/>
  <c r="E26"/>
  <c r="C26"/>
  <c r="C36" s="1"/>
  <c r="C46" s="1"/>
  <c r="C56" s="1"/>
  <c r="C66" s="1"/>
  <c r="C76" s="1"/>
  <c r="C86" s="1"/>
  <c r="C96" s="1"/>
  <c r="AA25"/>
  <c r="E25"/>
  <c r="C25"/>
  <c r="E24"/>
  <c r="E23"/>
  <c r="E22"/>
  <c r="E21"/>
  <c r="E20"/>
  <c r="E19"/>
  <c r="E18"/>
  <c r="E17"/>
  <c r="E16"/>
  <c r="E15"/>
  <c r="E14"/>
  <c r="E13"/>
  <c r="E12"/>
  <c r="E11"/>
  <c r="J10"/>
  <c r="E10"/>
  <c r="J9"/>
  <c r="E9"/>
  <c r="J8"/>
  <c r="H45" s="1"/>
  <c r="E8"/>
  <c r="J7"/>
  <c r="J14" s="1"/>
  <c r="E7"/>
  <c r="J6"/>
  <c r="E6"/>
  <c r="J5"/>
  <c r="N6" s="1"/>
  <c r="E5"/>
  <c r="J4"/>
  <c r="N5" s="1"/>
  <c r="O29" i="1"/>
  <c r="N4" i="2" s="1"/>
  <c r="K27" i="1"/>
  <c r="N7" i="2" l="1"/>
  <c r="N8"/>
  <c r="H28"/>
  <c r="I45"/>
  <c r="I13"/>
  <c r="N38"/>
  <c r="N39"/>
  <c r="N40"/>
  <c r="J13"/>
  <c r="N22"/>
  <c r="I14"/>
  <c r="N41"/>
  <c r="N23"/>
  <c r="N21"/>
  <c r="N24"/>
  <c r="J40" l="1"/>
  <c r="L40" s="1"/>
  <c r="J45"/>
  <c r="L45" s="1"/>
  <c r="I15"/>
  <c r="I21" s="1"/>
  <c r="J21" s="1"/>
  <c r="J39"/>
  <c r="K39" s="1"/>
  <c r="J41"/>
  <c r="L41" s="1"/>
  <c r="K8" i="1"/>
  <c r="J43" i="2"/>
  <c r="K43" s="1"/>
  <c r="J42"/>
  <c r="K42" s="1"/>
  <c r="J38"/>
  <c r="K38" s="1"/>
  <c r="J44"/>
  <c r="L44" s="1"/>
  <c r="I24" l="1"/>
  <c r="J24" s="1"/>
  <c r="K24" s="1"/>
  <c r="L21"/>
  <c r="Q31" s="1"/>
  <c r="K40"/>
  <c r="M40" s="1"/>
  <c r="S49" s="1"/>
  <c r="F28" i="1" s="1"/>
  <c r="L38" i="2"/>
  <c r="Q48" s="1"/>
  <c r="K44"/>
  <c r="M44" s="1"/>
  <c r="W49" s="1"/>
  <c r="J28" i="1" s="1"/>
  <c r="K45" i="2"/>
  <c r="M45" s="1"/>
  <c r="X49" s="1"/>
  <c r="K28" i="1" s="1"/>
  <c r="K41" i="2"/>
  <c r="M41" s="1"/>
  <c r="T49" s="1"/>
  <c r="G28" i="1" s="1"/>
  <c r="L39" i="2"/>
  <c r="M39" s="1"/>
  <c r="R49" s="1"/>
  <c r="E28" i="1" s="1"/>
  <c r="K21" i="2"/>
  <c r="I28"/>
  <c r="J28" s="1"/>
  <c r="L28" s="1"/>
  <c r="I25"/>
  <c r="J25" s="1"/>
  <c r="L25" s="1"/>
  <c r="I23"/>
  <c r="J23" s="1"/>
  <c r="K23" s="1"/>
  <c r="I26"/>
  <c r="J26" s="1"/>
  <c r="L26" s="1"/>
  <c r="I27"/>
  <c r="J27" s="1"/>
  <c r="K27" s="1"/>
  <c r="I22"/>
  <c r="J22" s="1"/>
  <c r="K22" s="1"/>
  <c r="L43"/>
  <c r="M43" s="1"/>
  <c r="V49" s="1"/>
  <c r="I28" i="1" s="1"/>
  <c r="L42" i="2"/>
  <c r="U48" s="1"/>
  <c r="M38"/>
  <c r="Q49" s="1"/>
  <c r="D28" i="1" s="1"/>
  <c r="X48" i="2"/>
  <c r="S48"/>
  <c r="W48"/>
  <c r="T48"/>
  <c r="L24"/>
  <c r="M21" l="1"/>
  <c r="Q32" s="1"/>
  <c r="D19" i="1" s="1"/>
  <c r="K26" i="2"/>
  <c r="M26" s="1"/>
  <c r="V32" s="1"/>
  <c r="I19" i="1" s="1"/>
  <c r="L27" i="2"/>
  <c r="W31" s="1"/>
  <c r="L22"/>
  <c r="R31" s="1"/>
  <c r="R48"/>
  <c r="R42" s="1"/>
  <c r="K28"/>
  <c r="M28" s="1"/>
  <c r="X32" s="1"/>
  <c r="K19" i="1" s="1"/>
  <c r="K25" i="2"/>
  <c r="M25" s="1"/>
  <c r="U32" s="1"/>
  <c r="H19" i="1" s="1"/>
  <c r="L23" i="2"/>
  <c r="M23" s="1"/>
  <c r="S32" s="1"/>
  <c r="F19" i="1" s="1"/>
  <c r="M42" i="2"/>
  <c r="U49" s="1"/>
  <c r="H28" i="1" s="1"/>
  <c r="V48" i="2"/>
  <c r="V42" s="1"/>
  <c r="T47"/>
  <c r="T42"/>
  <c r="V31"/>
  <c r="W42"/>
  <c r="W47"/>
  <c r="U31"/>
  <c r="T31"/>
  <c r="M24"/>
  <c r="T32" s="1"/>
  <c r="G19" i="1" s="1"/>
  <c r="Q47" i="2"/>
  <c r="Q42"/>
  <c r="X42"/>
  <c r="X47"/>
  <c r="S42"/>
  <c r="S47"/>
  <c r="Q25"/>
  <c r="Q30"/>
  <c r="X31"/>
  <c r="U47"/>
  <c r="U42"/>
  <c r="M27" l="1"/>
  <c r="W32" s="1"/>
  <c r="J19" i="1" s="1"/>
  <c r="M22" i="2"/>
  <c r="R32" s="1"/>
  <c r="E19" i="1" s="1"/>
  <c r="R47" i="2"/>
  <c r="R46" s="1"/>
  <c r="S31"/>
  <c r="S30" s="1"/>
  <c r="V47"/>
  <c r="V41" s="1"/>
  <c r="T46"/>
  <c r="T41"/>
  <c r="X41"/>
  <c r="X46"/>
  <c r="R30"/>
  <c r="R25"/>
  <c r="V25"/>
  <c r="V30"/>
  <c r="Q24"/>
  <c r="Q29"/>
  <c r="W46"/>
  <c r="W41"/>
  <c r="W30"/>
  <c r="W25"/>
  <c r="X30"/>
  <c r="X25"/>
  <c r="T30"/>
  <c r="T25"/>
  <c r="U41"/>
  <c r="U46"/>
  <c r="Q41"/>
  <c r="Q46"/>
  <c r="U30"/>
  <c r="U25"/>
  <c r="S46"/>
  <c r="S41"/>
  <c r="R41" l="1"/>
  <c r="AE41" s="1"/>
  <c r="AE44" s="1"/>
  <c r="S25"/>
  <c r="V46"/>
  <c r="V40" s="1"/>
  <c r="U24"/>
  <c r="U29"/>
  <c r="Q40"/>
  <c r="Q45"/>
  <c r="W45"/>
  <c r="W40"/>
  <c r="T40"/>
  <c r="T45"/>
  <c r="V29"/>
  <c r="V24"/>
  <c r="T24"/>
  <c r="T29"/>
  <c r="S45"/>
  <c r="S40"/>
  <c r="AF41"/>
  <c r="AF44" s="1"/>
  <c r="AH41"/>
  <c r="AH44" s="1"/>
  <c r="W29"/>
  <c r="W24"/>
  <c r="Q28"/>
  <c r="Q23"/>
  <c r="S29"/>
  <c r="S24"/>
  <c r="X24"/>
  <c r="X29"/>
  <c r="AG41"/>
  <c r="AG44" s="1"/>
  <c r="AK41"/>
  <c r="AK44" s="1"/>
  <c r="AD24"/>
  <c r="AD27" s="1"/>
  <c r="U45"/>
  <c r="U40"/>
  <c r="R29"/>
  <c r="R24"/>
  <c r="AJ41"/>
  <c r="AJ44" s="1"/>
  <c r="X45"/>
  <c r="X40"/>
  <c r="AD41"/>
  <c r="AD44" s="1"/>
  <c r="AI41"/>
  <c r="AI44" s="1"/>
  <c r="R45"/>
  <c r="R40"/>
  <c r="V45" l="1"/>
  <c r="V44" s="1"/>
  <c r="AH24"/>
  <c r="AH27" s="1"/>
  <c r="AE24"/>
  <c r="AE27" s="1"/>
  <c r="S23"/>
  <c r="S28"/>
  <c r="T44"/>
  <c r="T39"/>
  <c r="U28"/>
  <c r="U23"/>
  <c r="AF24"/>
  <c r="AF27" s="1"/>
  <c r="AD40"/>
  <c r="AD43" s="1"/>
  <c r="AD23"/>
  <c r="AD26" s="1"/>
  <c r="Q39"/>
  <c r="Q44"/>
  <c r="U39"/>
  <c r="U44"/>
  <c r="AE40"/>
  <c r="AE43" s="1"/>
  <c r="AH40"/>
  <c r="AH43" s="1"/>
  <c r="X28"/>
  <c r="X23"/>
  <c r="W23"/>
  <c r="W28"/>
  <c r="AG24"/>
  <c r="AG27" s="1"/>
  <c r="AI40"/>
  <c r="AI43" s="1"/>
  <c r="R28"/>
  <c r="R23"/>
  <c r="AG40"/>
  <c r="AG43" s="1"/>
  <c r="R39"/>
  <c r="R44"/>
  <c r="AK24"/>
  <c r="AK27" s="1"/>
  <c r="X39"/>
  <c r="X44"/>
  <c r="AJ24"/>
  <c r="AJ27" s="1"/>
  <c r="T23"/>
  <c r="T28"/>
  <c r="W44"/>
  <c r="W39"/>
  <c r="AF40"/>
  <c r="AF43" s="1"/>
  <c r="V28"/>
  <c r="V23"/>
  <c r="AI24"/>
  <c r="AI27" s="1"/>
  <c r="AK40"/>
  <c r="AK43" s="1"/>
  <c r="Q27"/>
  <c r="Q22"/>
  <c r="S44"/>
  <c r="S39"/>
  <c r="AJ40"/>
  <c r="AJ43" s="1"/>
  <c r="V39" l="1"/>
  <c r="AI39" s="1"/>
  <c r="AI42" s="1"/>
  <c r="AI45" s="1"/>
  <c r="AH23"/>
  <c r="AH26" s="1"/>
  <c r="AK39"/>
  <c r="AK42" s="1"/>
  <c r="AK45" s="1"/>
  <c r="AH39"/>
  <c r="AH42" s="1"/>
  <c r="AH45" s="1"/>
  <c r="S38"/>
  <c r="AF38" s="1"/>
  <c r="S43"/>
  <c r="V22"/>
  <c r="V27"/>
  <c r="AJ23"/>
  <c r="AJ26" s="1"/>
  <c r="V43"/>
  <c r="V38"/>
  <c r="AF23"/>
  <c r="AF26" s="1"/>
  <c r="W43"/>
  <c r="W38"/>
  <c r="AJ38" s="1"/>
  <c r="U27"/>
  <c r="U22"/>
  <c r="Q43"/>
  <c r="Q38"/>
  <c r="AD38" s="1"/>
  <c r="Q26"/>
  <c r="Q21"/>
  <c r="AD21" s="1"/>
  <c r="X38"/>
  <c r="AK38" s="1"/>
  <c r="X43"/>
  <c r="AK23"/>
  <c r="AK26" s="1"/>
  <c r="W22"/>
  <c r="W27"/>
  <c r="S22"/>
  <c r="S27"/>
  <c r="X22"/>
  <c r="X27"/>
  <c r="AE23"/>
  <c r="AE26" s="1"/>
  <c r="AG23"/>
  <c r="AG26" s="1"/>
  <c r="AE39"/>
  <c r="AE42" s="1"/>
  <c r="AE45" s="1"/>
  <c r="T43"/>
  <c r="T38"/>
  <c r="AG38" s="1"/>
  <c r="AD39"/>
  <c r="AD42" s="1"/>
  <c r="AD45" s="1"/>
  <c r="AJ39"/>
  <c r="AJ42" s="1"/>
  <c r="AJ45" s="1"/>
  <c r="R27"/>
  <c r="R22"/>
  <c r="AD22"/>
  <c r="AD25" s="1"/>
  <c r="AD28" s="1"/>
  <c r="U38"/>
  <c r="AH38" s="1"/>
  <c r="U43"/>
  <c r="AF39"/>
  <c r="AF42" s="1"/>
  <c r="AF45" s="1"/>
  <c r="AI23"/>
  <c r="AI26" s="1"/>
  <c r="T27"/>
  <c r="T22"/>
  <c r="R38"/>
  <c r="AE38" s="1"/>
  <c r="R43"/>
  <c r="AG39"/>
  <c r="AG42" s="1"/>
  <c r="AG45" s="1"/>
  <c r="AI38" l="1"/>
  <c r="AI48" s="1"/>
  <c r="AF22"/>
  <c r="AF25" s="1"/>
  <c r="AF28" s="1"/>
  <c r="T26"/>
  <c r="T21"/>
  <c r="AG21" s="1"/>
  <c r="AW42"/>
  <c r="AW49" s="1"/>
  <c r="K33" i="1" s="1"/>
  <c r="AW39" i="2"/>
  <c r="AW41"/>
  <c r="AW38"/>
  <c r="AW40"/>
  <c r="AK47"/>
  <c r="AK49"/>
  <c r="AK48"/>
  <c r="AK46"/>
  <c r="AJ22"/>
  <c r="AJ25" s="1"/>
  <c r="AJ28" s="1"/>
  <c r="AT42"/>
  <c r="AT49" s="1"/>
  <c r="H33" i="1" s="1"/>
  <c r="AT41" i="2"/>
  <c r="AT40"/>
  <c r="AT39"/>
  <c r="AT38"/>
  <c r="AH48"/>
  <c r="AH46"/>
  <c r="AH47"/>
  <c r="AH49"/>
  <c r="R26"/>
  <c r="R21"/>
  <c r="AE21" s="1"/>
  <c r="AI22"/>
  <c r="AI25" s="1"/>
  <c r="AI28" s="1"/>
  <c r="AE22"/>
  <c r="AE25" s="1"/>
  <c r="AE28" s="1"/>
  <c r="U21"/>
  <c r="AH21" s="1"/>
  <c r="U26"/>
  <c r="AG22"/>
  <c r="AG25" s="1"/>
  <c r="AG28" s="1"/>
  <c r="AP39"/>
  <c r="AP41"/>
  <c r="AP42"/>
  <c r="AP49" s="1"/>
  <c r="D33" i="1" s="1"/>
  <c r="AP40" i="2"/>
  <c r="AP38"/>
  <c r="AD48"/>
  <c r="AD49"/>
  <c r="AD47"/>
  <c r="AD46"/>
  <c r="W26"/>
  <c r="W21"/>
  <c r="AJ21" s="1"/>
  <c r="AP25"/>
  <c r="AP32" s="1"/>
  <c r="D24" i="1" s="1"/>
  <c r="AP24" i="2"/>
  <c r="AP22"/>
  <c r="AP21"/>
  <c r="AP23"/>
  <c r="AD31"/>
  <c r="AD29"/>
  <c r="AD32"/>
  <c r="AD30"/>
  <c r="AH22"/>
  <c r="AH25" s="1"/>
  <c r="AH28" s="1"/>
  <c r="AV42"/>
  <c r="AV49" s="1"/>
  <c r="J33" i="1" s="1"/>
  <c r="AV41" i="2"/>
  <c r="AV40"/>
  <c r="AV39"/>
  <c r="AV38"/>
  <c r="AJ46"/>
  <c r="AJ48"/>
  <c r="AJ49"/>
  <c r="AJ47"/>
  <c r="AU38"/>
  <c r="AQ42"/>
  <c r="AQ49" s="1"/>
  <c r="E33" i="1" s="1"/>
  <c r="AQ41" i="2"/>
  <c r="AQ40"/>
  <c r="AQ39"/>
  <c r="AQ38"/>
  <c r="AE46"/>
  <c r="AE48"/>
  <c r="AE47"/>
  <c r="AE49"/>
  <c r="S26"/>
  <c r="S21"/>
  <c r="AF21" s="1"/>
  <c r="V21"/>
  <c r="AI21" s="1"/>
  <c r="V26"/>
  <c r="AK22"/>
  <c r="AK25" s="1"/>
  <c r="AK28" s="1"/>
  <c r="X21"/>
  <c r="AK21" s="1"/>
  <c r="X26"/>
  <c r="AS40"/>
  <c r="AS39"/>
  <c r="AS42"/>
  <c r="AS49" s="1"/>
  <c r="G33" i="1" s="1"/>
  <c r="AS38" i="2"/>
  <c r="AS41"/>
  <c r="AG48"/>
  <c r="AG46"/>
  <c r="AG49"/>
  <c r="AG47"/>
  <c r="AR41"/>
  <c r="AR38"/>
  <c r="AR40"/>
  <c r="AR42"/>
  <c r="AR49" s="1"/>
  <c r="F33" i="1" s="1"/>
  <c r="AR39" i="2"/>
  <c r="AF47"/>
  <c r="AF46"/>
  <c r="AF48"/>
  <c r="AF49"/>
  <c r="AU42" l="1"/>
  <c r="AU49" s="1"/>
  <c r="I33" i="1" s="1"/>
  <c r="AU39" i="2"/>
  <c r="AU40"/>
  <c r="AU47" s="1"/>
  <c r="I31" i="1" s="1"/>
  <c r="AR45" i="2"/>
  <c r="F29" i="1" s="1"/>
  <c r="AI46" i="2"/>
  <c r="AU45" s="1"/>
  <c r="I29" i="1" s="1"/>
  <c r="AU41" i="2"/>
  <c r="AI49"/>
  <c r="AI47"/>
  <c r="AW45"/>
  <c r="K29" i="1" s="1"/>
  <c r="AP45" i="2"/>
  <c r="D29" i="1" s="1"/>
  <c r="AT45" i="2"/>
  <c r="H29" i="1" s="1"/>
  <c r="AQ45" i="2"/>
  <c r="E29" i="1" s="1"/>
  <c r="AS45" i="2"/>
  <c r="G29" i="1" s="1"/>
  <c r="AT46" i="2"/>
  <c r="H30" i="1" s="1"/>
  <c r="AS47" i="2"/>
  <c r="G31" i="1" s="1"/>
  <c r="AV46" i="2"/>
  <c r="J30" i="1" s="1"/>
  <c r="AQ47" i="2"/>
  <c r="E31" i="1" s="1"/>
  <c r="AV45" i="2"/>
  <c r="J29" i="1" s="1"/>
  <c r="AP28" i="2"/>
  <c r="D20" i="1" s="1"/>
  <c r="AT48" i="2"/>
  <c r="H32" i="1" s="1"/>
  <c r="AT47" i="2"/>
  <c r="H31" i="1" s="1"/>
  <c r="AW25" i="2"/>
  <c r="AW32" s="1"/>
  <c r="K24" i="1" s="1"/>
  <c r="AW24" i="2"/>
  <c r="AW21"/>
  <c r="AW23"/>
  <c r="AW22"/>
  <c r="AK29"/>
  <c r="AK30"/>
  <c r="AK32"/>
  <c r="AK31"/>
  <c r="AQ23"/>
  <c r="AQ22"/>
  <c r="AQ21"/>
  <c r="AQ25"/>
  <c r="AQ32" s="1"/>
  <c r="E24" i="1" s="1"/>
  <c r="AQ24" i="2"/>
  <c r="AE30"/>
  <c r="AE29"/>
  <c r="AE32"/>
  <c r="AE31"/>
  <c r="AR46"/>
  <c r="F30" i="1" s="1"/>
  <c r="AV47" i="2"/>
  <c r="J31" i="1" s="1"/>
  <c r="AP47" i="2"/>
  <c r="D31" i="1" s="1"/>
  <c r="AW47" i="2"/>
  <c r="K31" i="1" s="1"/>
  <c r="AT21" i="2"/>
  <c r="AT25"/>
  <c r="AT32" s="1"/>
  <c r="H24" i="1" s="1"/>
  <c r="AT24" i="2"/>
  <c r="AT23"/>
  <c r="AT22"/>
  <c r="AH30"/>
  <c r="AH32"/>
  <c r="AH31"/>
  <c r="AH29"/>
  <c r="AT28" s="1"/>
  <c r="H20" i="1" s="1"/>
  <c r="AQ48" i="2"/>
  <c r="E32" i="1" s="1"/>
  <c r="AS46" i="2"/>
  <c r="G30" i="1" s="1"/>
  <c r="AQ46" i="2"/>
  <c r="E30" i="1" s="1"/>
  <c r="AP29" i="2"/>
  <c r="D21" i="1" s="1"/>
  <c r="AP46" i="2"/>
  <c r="D30" i="1" s="1"/>
  <c r="AW46" i="2"/>
  <c r="K30" i="1" s="1"/>
  <c r="AU22" i="2"/>
  <c r="AU21"/>
  <c r="AU25"/>
  <c r="AU32" s="1"/>
  <c r="I24" i="1" s="1"/>
  <c r="AU23" i="2"/>
  <c r="AU24"/>
  <c r="AI30"/>
  <c r="AI32"/>
  <c r="AI29"/>
  <c r="AI31"/>
  <c r="AV23"/>
  <c r="AV22"/>
  <c r="AV21"/>
  <c r="AV25"/>
  <c r="AV32" s="1"/>
  <c r="J24" i="1" s="1"/>
  <c r="AV24" i="2"/>
  <c r="AJ29"/>
  <c r="AJ31"/>
  <c r="AJ32"/>
  <c r="AJ30"/>
  <c r="AP31"/>
  <c r="D23" i="1" s="1"/>
  <c r="AR47" i="2"/>
  <c r="F31" i="1" s="1"/>
  <c r="AP48" i="2"/>
  <c r="D32" i="1" s="1"/>
  <c r="AW48" i="2"/>
  <c r="K32" i="1" s="1"/>
  <c r="AR25" i="2"/>
  <c r="AR32" s="1"/>
  <c r="F24" i="1" s="1"/>
  <c r="AR22" i="2"/>
  <c r="AR24"/>
  <c r="AR23"/>
  <c r="AR21"/>
  <c r="AF32"/>
  <c r="AF30"/>
  <c r="AF31"/>
  <c r="AF29"/>
  <c r="AS25"/>
  <c r="AS32" s="1"/>
  <c r="G24" i="1" s="1"/>
  <c r="AS24" i="2"/>
  <c r="AS23"/>
  <c r="AS22"/>
  <c r="AS21"/>
  <c r="AG29"/>
  <c r="AG30"/>
  <c r="AG32"/>
  <c r="AG31"/>
  <c r="AR48"/>
  <c r="F32" i="1" s="1"/>
  <c r="AS48" i="2"/>
  <c r="G32" i="1" s="1"/>
  <c r="AV48" i="2"/>
  <c r="J32" i="1" s="1"/>
  <c r="AP30" i="2"/>
  <c r="D22" i="1" s="1"/>
  <c r="AU48" i="2" l="1"/>
  <c r="I32" i="1" s="1"/>
  <c r="AU46" i="2"/>
  <c r="I30" i="1" s="1"/>
  <c r="AQ31" i="2"/>
  <c r="E23" i="1" s="1"/>
  <c r="AQ28" i="2"/>
  <c r="E20" i="1" s="1"/>
  <c r="AU28" i="2"/>
  <c r="I20" i="1" s="1"/>
  <c r="K34"/>
  <c r="AW28" i="2"/>
  <c r="K20" i="1" s="1"/>
  <c r="AV31" i="2"/>
  <c r="J23" i="1" s="1"/>
  <c r="AT29" i="2"/>
  <c r="H21" i="1" s="1"/>
  <c r="AS28" i="2"/>
  <c r="G20" i="1" s="1"/>
  <c r="AU31" i="2"/>
  <c r="I23" i="1" s="1"/>
  <c r="E34"/>
  <c r="J34"/>
  <c r="AS29" i="2"/>
  <c r="G21" i="1" s="1"/>
  <c r="AR28" i="2"/>
  <c r="F20" i="1" s="1"/>
  <c r="AV28" i="2"/>
  <c r="J20" i="1" s="1"/>
  <c r="AU30" i="2"/>
  <c r="I22" i="1" s="1"/>
  <c r="AT30" i="2"/>
  <c r="H22" i="1" s="1"/>
  <c r="D34"/>
  <c r="H34"/>
  <c r="AS31" i="2"/>
  <c r="G23" i="1" s="1"/>
  <c r="D25"/>
  <c r="AS30" i="2"/>
  <c r="G22" i="1" s="1"/>
  <c r="AR30" i="2"/>
  <c r="F22" i="1" s="1"/>
  <c r="AR29" i="2"/>
  <c r="F21" i="1" s="1"/>
  <c r="AV30" i="2"/>
  <c r="J22" i="1" s="1"/>
  <c r="F34"/>
  <c r="AR31" i="2"/>
  <c r="F23" i="1" s="1"/>
  <c r="AV29" i="2"/>
  <c r="J21" i="1" s="1"/>
  <c r="G34"/>
  <c r="AT31" i="2"/>
  <c r="H23" i="1" s="1"/>
  <c r="AW29" i="2"/>
  <c r="K21" i="1" s="1"/>
  <c r="AQ30" i="2"/>
  <c r="E22" i="1" s="1"/>
  <c r="AW31" i="2"/>
  <c r="K23" i="1" s="1"/>
  <c r="AQ29" i="2"/>
  <c r="E21" i="1" s="1"/>
  <c r="AU29" i="2"/>
  <c r="I21" i="1" s="1"/>
  <c r="AW30" i="2"/>
  <c r="K22" i="1" s="1"/>
  <c r="I34" l="1"/>
  <c r="E25"/>
  <c r="H25"/>
  <c r="K25"/>
  <c r="I25"/>
  <c r="G25"/>
  <c r="F25"/>
  <c r="J25"/>
</calcChain>
</file>

<file path=xl/comments1.xml><?xml version="1.0" encoding="utf-8"?>
<comments xmlns="http://schemas.openxmlformats.org/spreadsheetml/2006/main">
  <authors>
    <author>pumsco</author>
  </authors>
  <commentList>
    <comment ref="E9" authorId="0">
      <text>
        <r>
          <rPr>
            <sz val="9"/>
            <color indexed="81"/>
            <rFont val="ＭＳ Ｐゴシック"/>
            <family val="3"/>
            <charset val="128"/>
          </rPr>
          <t>悪魔学等と予備枠分を除いた経験値高揚の合計が
ここに表示されます。
実際の計算では、
りんごの経験値×（100%+高揚合計）　で計算され、
さらに悪魔学分の高揚が乗算されます。</t>
        </r>
      </text>
    </comment>
    <comment ref="K9" authorId="0">
      <text>
        <r>
          <rPr>
            <sz val="9"/>
            <color indexed="81"/>
            <rFont val="ＭＳ Ｐゴシック"/>
            <family val="3"/>
            <charset val="128"/>
          </rPr>
          <t>ここと右側のチェックボックス付きの設定欄には
次の経験値高揚などを入れて下さい。
経験香はラジオボタンからも選べます。
　</t>
        </r>
        <r>
          <rPr>
            <b/>
            <sz val="9"/>
            <color indexed="81"/>
            <rFont val="ＭＳ Ｐゴシック"/>
            <family val="3"/>
            <charset val="128"/>
          </rPr>
          <t>・装備分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81"/>
            <rFont val="ＭＳ Ｐゴシック"/>
            <family val="3"/>
            <charset val="128"/>
          </rPr>
          <t>・パッシブスキルの効果</t>
        </r>
        <r>
          <rPr>
            <sz val="9"/>
            <color indexed="81"/>
            <rFont val="ＭＳ Ｐゴシック"/>
            <family val="3"/>
            <charset val="128"/>
          </rPr>
          <t xml:space="preserve">
　　（悪魔学、心理学、御魂悪魔育成学など）
　</t>
        </r>
        <r>
          <rPr>
            <b/>
            <sz val="9"/>
            <color indexed="81"/>
            <rFont val="ＭＳ Ｐゴシック"/>
            <family val="3"/>
            <charset val="128"/>
          </rPr>
          <t>・フォース</t>
        </r>
        <r>
          <rPr>
            <sz val="9"/>
            <color indexed="81"/>
            <rFont val="ＭＳ Ｐゴシック"/>
            <family val="3"/>
            <charset val="128"/>
          </rPr>
          <t>（パラメータ、スタック）
　</t>
        </r>
        <r>
          <rPr>
            <b/>
            <sz val="9"/>
            <color indexed="81"/>
            <rFont val="ＭＳ Ｐゴシック"/>
            <family val="3"/>
            <charset val="128"/>
          </rPr>
          <t>・イングの御魂強化セットボーナス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81"/>
            <rFont val="ＭＳ Ｐゴシック"/>
            <family val="3"/>
            <charset val="128"/>
          </rPr>
          <t>・特徴</t>
        </r>
        <r>
          <rPr>
            <sz val="9"/>
            <color indexed="81"/>
            <rFont val="ＭＳ Ｐゴシック"/>
            <family val="3"/>
            <charset val="128"/>
          </rPr>
          <t>（御魂、未熟、天突、異形、エピタフなど）
　</t>
        </r>
        <r>
          <rPr>
            <b/>
            <sz val="9"/>
            <color indexed="81"/>
            <rFont val="ＭＳ Ｐゴシック"/>
            <family val="3"/>
            <charset val="128"/>
          </rPr>
          <t>・経験香/育成香など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81"/>
            <rFont val="ＭＳ Ｐゴシック"/>
            <family val="3"/>
            <charset val="128"/>
          </rPr>
          <t>・クランボーナス</t>
        </r>
        <r>
          <rPr>
            <sz val="9"/>
            <color indexed="81"/>
            <rFont val="ＭＳ Ｐゴシック"/>
            <family val="3"/>
            <charset val="128"/>
          </rPr>
          <t xml:space="preserve">（PCのみ）
</t>
        </r>
        <r>
          <rPr>
            <sz val="9"/>
            <color indexed="48"/>
            <rFont val="ＭＳ Ｐゴシック"/>
            <family val="3"/>
            <charset val="128"/>
          </rPr>
          <t>※ＰＴを組んでいても経験値は減衰しません。</t>
        </r>
      </text>
    </comment>
    <comment ref="E12" authorId="0">
      <text>
        <r>
          <rPr>
            <u/>
            <sz val="9"/>
            <color indexed="81"/>
            <rFont val="ＭＳ Ｐゴシック"/>
            <family val="3"/>
            <charset val="128"/>
          </rPr>
          <t>20倍香は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+2013％</t>
        </r>
        <r>
          <rPr>
            <u/>
            <sz val="9"/>
            <color indexed="81"/>
            <rFont val="ＭＳ Ｐゴシック"/>
            <family val="3"/>
            <charset val="128"/>
          </rPr>
          <t>で計算します</t>
        </r>
        <r>
          <rPr>
            <sz val="9"/>
            <color indexed="81"/>
            <rFont val="ＭＳ Ｐゴシック"/>
            <family val="3"/>
            <charset val="128"/>
          </rPr>
          <t xml:space="preserve">。
年度の違いによる数％まで合わせる場合は、経験値ブースト設定の枠に
-3%～1%を入れて調整して下さい。
</t>
        </r>
      </text>
    </comment>
    <comment ref="F14" authorId="0">
      <text>
        <r>
          <rPr>
            <u/>
            <sz val="9"/>
            <color indexed="81"/>
            <rFont val="ＭＳ Ｐゴシック"/>
            <family val="3"/>
            <charset val="128"/>
          </rPr>
          <t>悪魔学クラス２毎に２％</t>
        </r>
        <r>
          <rPr>
            <sz val="9"/>
            <color indexed="81"/>
            <rFont val="ＭＳ Ｐゴシック"/>
            <family val="3"/>
            <charset val="128"/>
          </rPr>
          <t xml:space="preserve">
　Class2-0～3-9　→　2%
　Class4-0～5-9　→　4%
　Class6-0～7-0　→　6%
</t>
        </r>
        <r>
          <rPr>
            <sz val="9"/>
            <color indexed="10"/>
            <rFont val="ＭＳ Ｐゴシック"/>
            <family val="3"/>
            <charset val="128"/>
          </rPr>
          <t>※1 パッシブスキル『○○シンパシー』
　　　の高揚はこことは別枠です。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※2 エキスパ「合体」の経験値高揚は
　　　ここと同じ枠かもしれません。</t>
        </r>
      </text>
    </comment>
    <comment ref="F1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ここは原則使いません。
合体エキスパ分やワールドボーナス等で別枠が
必要になった時の予備枠です。
ここに入れた数値は、
（100%+高揚合計）×（100%+悪魔学等）×（100%+予備枠）
として計算されます。
</t>
        </r>
      </text>
    </comment>
  </commentList>
</comments>
</file>

<file path=xl/comments2.xml><?xml version="1.0" encoding="utf-8"?>
<comments xmlns="http://schemas.openxmlformats.org/spreadsheetml/2006/main">
  <authors>
    <author>PCID1080</author>
  </authors>
  <commentList>
    <comment ref="AC28" authorId="0">
      <text>
        <r>
          <rPr>
            <sz val="9"/>
            <color indexed="81"/>
            <rFont val="ＭＳ Ｐゴシック"/>
            <family val="3"/>
            <charset val="128"/>
          </rPr>
          <t>1→50個
2→100個
3→500個
4→1000個</t>
        </r>
      </text>
    </comment>
    <comment ref="AC45" authorId="0">
      <text>
        <r>
          <rPr>
            <sz val="9"/>
            <color indexed="81"/>
            <rFont val="ＭＳ Ｐゴシック"/>
            <family val="3"/>
            <charset val="128"/>
          </rPr>
          <t>1→50個
2→100個
3→500個
4→1000個</t>
        </r>
      </text>
    </comment>
  </commentList>
</comments>
</file>

<file path=xl/sharedStrings.xml><?xml version="1.0" encoding="utf-8"?>
<sst xmlns="http://schemas.openxmlformats.org/spreadsheetml/2006/main" count="252" uniqueCount="140">
  <si>
    <t>◆経験値Boost設定</t>
    <rPh sb="1" eb="3">
      <t>ケイケン</t>
    </rPh>
    <rPh sb="3" eb="4">
      <t>チ</t>
    </rPh>
    <rPh sb="9" eb="11">
      <t>セッテイ</t>
    </rPh>
    <phoneticPr fontId="5"/>
  </si>
  <si>
    <t>チェック用（りんご10個分の経験値）:</t>
    <rPh sb="4" eb="5">
      <t>ヨウ</t>
    </rPh>
    <rPh sb="11" eb="12">
      <t>コ</t>
    </rPh>
    <rPh sb="12" eb="13">
      <t>ブン</t>
    </rPh>
    <rPh sb="14" eb="17">
      <t>ケイケンチ</t>
    </rPh>
    <phoneticPr fontId="5"/>
  </si>
  <si>
    <t>高揚合計</t>
    <rPh sb="0" eb="2">
      <t>コウヨウ</t>
    </rPh>
    <rPh sb="2" eb="4">
      <t>ゴウケイ</t>
    </rPh>
    <phoneticPr fontId="5"/>
  </si>
  <si>
    <t>経験香</t>
    <rPh sb="0" eb="2">
      <t>ケイケン</t>
    </rPh>
    <rPh sb="2" eb="3">
      <t>コウ</t>
    </rPh>
    <phoneticPr fontId="5"/>
  </si>
  <si>
    <t>香無し</t>
    <rPh sb="0" eb="1">
      <t>コウ</t>
    </rPh>
    <rPh sb="1" eb="2">
      <t>ナ</t>
    </rPh>
    <phoneticPr fontId="5"/>
  </si>
  <si>
    <t>20倍香</t>
    <rPh sb="2" eb="3">
      <t>バイ</t>
    </rPh>
    <rPh sb="3" eb="4">
      <t>コウ</t>
    </rPh>
    <phoneticPr fontId="5"/>
  </si>
  <si>
    <t>10倍香</t>
    <rPh sb="2" eb="3">
      <t>バイ</t>
    </rPh>
    <rPh sb="3" eb="4">
      <t>コウ</t>
    </rPh>
    <phoneticPr fontId="5"/>
  </si>
  <si>
    <t>5倍香</t>
    <rPh sb="1" eb="2">
      <t>バイ</t>
    </rPh>
    <rPh sb="2" eb="3">
      <t>コウ</t>
    </rPh>
    <phoneticPr fontId="5"/>
  </si>
  <si>
    <t>3倍香</t>
    <rPh sb="1" eb="2">
      <t>バイ</t>
    </rPh>
    <rPh sb="2" eb="3">
      <t>コウ</t>
    </rPh>
    <phoneticPr fontId="5"/>
  </si>
  <si>
    <t>2倍香</t>
    <rPh sb="1" eb="2">
      <t>バイ</t>
    </rPh>
    <rPh sb="2" eb="3">
      <t>コウ</t>
    </rPh>
    <phoneticPr fontId="5"/>
  </si>
  <si>
    <t>悪魔学等</t>
    <rPh sb="0" eb="2">
      <t>アクマ</t>
    </rPh>
    <rPh sb="2" eb="3">
      <t>ガク</t>
    </rPh>
    <rPh sb="3" eb="4">
      <t>トウ</t>
    </rPh>
    <phoneticPr fontId="5"/>
  </si>
  <si>
    <t>初期Lv</t>
    <rPh sb="0" eb="2">
      <t>ショキ</t>
    </rPh>
    <phoneticPr fontId="5"/>
  </si>
  <si>
    <t>Lv</t>
    <phoneticPr fontId="5"/>
  </si>
  <si>
    <t>%</t>
    <phoneticPr fontId="5"/>
  </si>
  <si>
    <t>予備枠</t>
    <rPh sb="0" eb="2">
      <t>ヨビ</t>
    </rPh>
    <rPh sb="2" eb="3">
      <t>ワク</t>
    </rPh>
    <phoneticPr fontId="5"/>
  </si>
  <si>
    <t>設定</t>
    <rPh sb="0" eb="2">
      <t>セッテイ</t>
    </rPh>
    <phoneticPr fontId="5"/>
  </si>
  <si>
    <t>■設定Lvから</t>
    <rPh sb="1" eb="3">
      <t>セッテイ</t>
    </rPh>
    <phoneticPr fontId="5"/>
  </si>
  <si>
    <t>R2</t>
    <phoneticPr fontId="5"/>
  </si>
  <si>
    <t>R3</t>
  </si>
  <si>
    <t>R4</t>
  </si>
  <si>
    <t>R5</t>
  </si>
  <si>
    <t>R6</t>
  </si>
  <si>
    <t>R7</t>
  </si>
  <si>
    <t>R8</t>
  </si>
  <si>
    <t>任意目標Lv</t>
    <rPh sb="0" eb="2">
      <t>ニンイ</t>
    </rPh>
    <rPh sb="2" eb="4">
      <t>モクヒョウ</t>
    </rPh>
    <phoneticPr fontId="5"/>
  </si>
  <si>
    <t>適用</t>
    <rPh sb="0" eb="2">
      <t>テキヨウ</t>
    </rPh>
    <phoneticPr fontId="5"/>
  </si>
  <si>
    <t>高揚値</t>
    <rPh sb="0" eb="3">
      <t>コウヨウチ</t>
    </rPh>
    <phoneticPr fontId="5"/>
  </si>
  <si>
    <t>備考</t>
    <rPh sb="0" eb="2">
      <t>ビコウ</t>
    </rPh>
    <phoneticPr fontId="5"/>
  </si>
  <si>
    <t>～Lv30</t>
    <phoneticPr fontId="5"/>
  </si>
  <si>
    <t>～Lv40</t>
    <phoneticPr fontId="5"/>
  </si>
  <si>
    <t>～Lv50</t>
  </si>
  <si>
    <t>～Lv60</t>
  </si>
  <si>
    <t>～Lv70</t>
  </si>
  <si>
    <t>～Lv80</t>
  </si>
  <si>
    <t>～Lv90</t>
  </si>
  <si>
    <t>りんご必要個数</t>
    <rPh sb="3" eb="5">
      <t>ヒツヨウ</t>
    </rPh>
    <rPh sb="5" eb="7">
      <t>コスウ</t>
    </rPh>
    <phoneticPr fontId="5"/>
  </si>
  <si>
    <t>デモナ</t>
  </si>
  <si>
    <t>必要回数</t>
    <rPh sb="0" eb="2">
      <t>ヒツヨウ</t>
    </rPh>
    <rPh sb="2" eb="4">
      <t>カイスウ</t>
    </rPh>
    <phoneticPr fontId="5"/>
  </si>
  <si>
    <t>M.COMP（DMN）Lv2</t>
    <phoneticPr fontId="5"/>
  </si>
  <si>
    <t>エトワール＋2</t>
    <phoneticPr fontId="5"/>
  </si>
  <si>
    <t>デビルショービニ+2</t>
    <phoneticPr fontId="5"/>
  </si>
  <si>
    <t>余分に使うりんご</t>
    <rPh sb="0" eb="2">
      <t>ヨブン</t>
    </rPh>
    <rPh sb="3" eb="4">
      <t>ツカ</t>
    </rPh>
    <phoneticPr fontId="5"/>
  </si>
  <si>
    <t>ラヴァーズ青SB</t>
    <rPh sb="5" eb="6">
      <t>アオ</t>
    </rPh>
    <phoneticPr fontId="5"/>
  </si>
  <si>
    <t>■Lv１（リユニ直後）から</t>
    <rPh sb="8" eb="10">
      <t>チョクゴ</t>
    </rPh>
    <phoneticPr fontId="5"/>
  </si>
  <si>
    <t>アクセSB</t>
    <phoneticPr fontId="5"/>
  </si>
  <si>
    <t>PT・モトリー/MI特性一式</t>
    <rPh sb="10" eb="12">
      <t>トクセイ</t>
    </rPh>
    <rPh sb="12" eb="14">
      <t>イッシキ</t>
    </rPh>
    <phoneticPr fontId="5"/>
  </si>
  <si>
    <t>PT・ハルシオンSB</t>
    <phoneticPr fontId="5"/>
  </si>
  <si>
    <t>同上 御魂分</t>
    <rPh sb="0" eb="2">
      <t>ドウジョウ</t>
    </rPh>
    <rPh sb="3" eb="5">
      <t>ミタマ</t>
    </rPh>
    <rPh sb="5" eb="6">
      <t>ブン</t>
    </rPh>
    <phoneticPr fontId="5"/>
  </si>
  <si>
    <t>ジャアクFスーツ・デジタラ</t>
    <phoneticPr fontId="5"/>
  </si>
  <si>
    <t>ヒーホーリング+3</t>
    <phoneticPr fontId="5"/>
  </si>
  <si>
    <t>経験値テーブル（悪魔検索プログラムより）</t>
    <rPh sb="0" eb="3">
      <t>ケイケンチ</t>
    </rPh>
    <rPh sb="8" eb="10">
      <t>アクマ</t>
    </rPh>
    <rPh sb="10" eb="12">
      <t>ケンサク</t>
    </rPh>
    <phoneticPr fontId="5"/>
  </si>
  <si>
    <t>設定入力値</t>
    <rPh sb="0" eb="2">
      <t>セッテイ</t>
    </rPh>
    <rPh sb="2" eb="4">
      <t>ニュウリョク</t>
    </rPh>
    <rPh sb="4" eb="5">
      <t>チ</t>
    </rPh>
    <phoneticPr fontId="5"/>
  </si>
  <si>
    <t>計算条件</t>
    <rPh sb="0" eb="2">
      <t>ケイサン</t>
    </rPh>
    <rPh sb="2" eb="4">
      <t>ジョウケン</t>
    </rPh>
    <phoneticPr fontId="5"/>
  </si>
  <si>
    <t>Rank</t>
  </si>
  <si>
    <t>Lv</t>
    <phoneticPr fontId="5"/>
  </si>
  <si>
    <t>経験値</t>
    <rPh sb="0" eb="3">
      <t>ケイケンチ</t>
    </rPh>
    <phoneticPr fontId="5"/>
  </si>
  <si>
    <t>高揚合計①（+値）</t>
    <rPh sb="0" eb="2">
      <t>コウヨウ</t>
    </rPh>
    <rPh sb="2" eb="4">
      <t>ゴウケイ</t>
    </rPh>
    <rPh sb="7" eb="8">
      <t>チ</t>
    </rPh>
    <phoneticPr fontId="5"/>
  </si>
  <si>
    <t>りんご経験値（１個）</t>
    <rPh sb="3" eb="6">
      <t>ケイケンチ</t>
    </rPh>
    <rPh sb="8" eb="9">
      <t>コ</t>
    </rPh>
    <phoneticPr fontId="5"/>
  </si>
  <si>
    <t>1→</t>
    <phoneticPr fontId="5"/>
  </si>
  <si>
    <t>(n+1)-n</t>
    <phoneticPr fontId="5"/>
  </si>
  <si>
    <t>高揚合計②（+値）</t>
    <rPh sb="0" eb="2">
      <t>コウヨウ</t>
    </rPh>
    <rPh sb="2" eb="4">
      <t>ゴウケイ</t>
    </rPh>
    <rPh sb="7" eb="8">
      <t>チ</t>
    </rPh>
    <phoneticPr fontId="5"/>
  </si>
  <si>
    <t>経験値ブースト①</t>
    <rPh sb="0" eb="3">
      <t>ケイケンチ</t>
    </rPh>
    <phoneticPr fontId="5"/>
  </si>
  <si>
    <t>高揚合計③（+値）</t>
    <rPh sb="0" eb="2">
      <t>コウヨウ</t>
    </rPh>
    <rPh sb="2" eb="4">
      <t>ゴウケイ</t>
    </rPh>
    <rPh sb="7" eb="8">
      <t>チ</t>
    </rPh>
    <phoneticPr fontId="5"/>
  </si>
  <si>
    <t>経験値ブースト②</t>
    <rPh sb="0" eb="3">
      <t>ケイケンチ</t>
    </rPh>
    <phoneticPr fontId="5"/>
  </si>
  <si>
    <t>設定初期レベル（Lv）</t>
    <rPh sb="0" eb="2">
      <t>セッテイ</t>
    </rPh>
    <rPh sb="2" eb="4">
      <t>ショキ</t>
    </rPh>
    <phoneticPr fontId="5"/>
  </si>
  <si>
    <t>経験値ブースト③</t>
    <rPh sb="0" eb="3">
      <t>ケイケンチ</t>
    </rPh>
    <phoneticPr fontId="5"/>
  </si>
  <si>
    <t>設定初期レベル（％）</t>
    <rPh sb="0" eb="2">
      <t>セッテイ</t>
    </rPh>
    <rPh sb="2" eb="4">
      <t>ショキ</t>
    </rPh>
    <phoneticPr fontId="5"/>
  </si>
  <si>
    <t>ブースト後経験値</t>
    <rPh sb="4" eb="5">
      <t>ゴ</t>
    </rPh>
    <rPh sb="5" eb="8">
      <t>ケイケンチ</t>
    </rPh>
    <phoneticPr fontId="5"/>
  </si>
  <si>
    <t>目標レベル（Lv）</t>
    <rPh sb="0" eb="2">
      <t>モクヒョウ</t>
    </rPh>
    <phoneticPr fontId="5"/>
  </si>
  <si>
    <t>選択肢の除外設定</t>
    <rPh sb="0" eb="3">
      <t>センタクシ</t>
    </rPh>
    <rPh sb="4" eb="6">
      <t>ジョガイ</t>
    </rPh>
    <rPh sb="6" eb="8">
      <t>セッテイ</t>
    </rPh>
    <phoneticPr fontId="5"/>
  </si>
  <si>
    <t>りんごの端数表示</t>
    <rPh sb="4" eb="6">
      <t>ハスウ</t>
    </rPh>
    <rPh sb="6" eb="8">
      <t>ヒョウジ</t>
    </rPh>
    <phoneticPr fontId="5"/>
  </si>
  <si>
    <t>設定初期レベルの除外経験値</t>
    <rPh sb="0" eb="2">
      <t>セッテイ</t>
    </rPh>
    <rPh sb="2" eb="4">
      <t>ショキ</t>
    </rPh>
    <rPh sb="8" eb="10">
      <t>ジョガイ</t>
    </rPh>
    <rPh sb="10" eb="13">
      <t>ケイケンチ</t>
    </rPh>
    <phoneticPr fontId="5"/>
  </si>
  <si>
    <t>Lv分</t>
    <rPh sb="2" eb="3">
      <t>ブン</t>
    </rPh>
    <phoneticPr fontId="5"/>
  </si>
  <si>
    <t>%分</t>
    <rPh sb="1" eb="2">
      <t>ブン</t>
    </rPh>
    <phoneticPr fontId="5"/>
  </si>
  <si>
    <t>合計</t>
    <rPh sb="0" eb="2">
      <t>ゴウケイ</t>
    </rPh>
    <phoneticPr fontId="5"/>
  </si>
  <si>
    <t>設定Lv～時</t>
    <rPh sb="0" eb="2">
      <t>セッテイ</t>
    </rPh>
    <rPh sb="5" eb="6">
      <t>ジ</t>
    </rPh>
    <phoneticPr fontId="5"/>
  </si>
  <si>
    <t>必要経験値</t>
    <rPh sb="0" eb="2">
      <t>ヒツヨウ</t>
    </rPh>
    <rPh sb="2" eb="5">
      <t>ケイケンチ</t>
    </rPh>
    <phoneticPr fontId="5"/>
  </si>
  <si>
    <t>必要個数</t>
    <rPh sb="0" eb="2">
      <t>ヒツヨウ</t>
    </rPh>
    <rPh sb="2" eb="4">
      <t>コスウ</t>
    </rPh>
    <phoneticPr fontId="5"/>
  </si>
  <si>
    <t>りんご</t>
    <phoneticPr fontId="5"/>
  </si>
  <si>
    <t>～R2</t>
    <phoneticPr fontId="5"/>
  </si>
  <si>
    <t>～R3</t>
    <phoneticPr fontId="5"/>
  </si>
  <si>
    <t>～R4</t>
  </si>
  <si>
    <t>～R5</t>
  </si>
  <si>
    <t>～R6</t>
  </si>
  <si>
    <t>～R7</t>
  </si>
  <si>
    <t>～R8</t>
  </si>
  <si>
    <t>～目標</t>
    <phoneticPr fontId="5"/>
  </si>
  <si>
    <t>りんご</t>
    <phoneticPr fontId="5"/>
  </si>
  <si>
    <t>～R2</t>
    <phoneticPr fontId="5"/>
  </si>
  <si>
    <t>～R3</t>
    <phoneticPr fontId="5"/>
  </si>
  <si>
    <t>～目標</t>
    <phoneticPr fontId="5"/>
  </si>
  <si>
    <t>～R2</t>
    <phoneticPr fontId="5"/>
  </si>
  <si>
    <t>～R3</t>
    <phoneticPr fontId="5"/>
  </si>
  <si>
    <t>～目標</t>
    <phoneticPr fontId="5"/>
  </si>
  <si>
    <t>Lv</t>
  </si>
  <si>
    <t>（累計）</t>
    <rPh sb="1" eb="3">
      <t>ルイケイ</t>
    </rPh>
    <phoneticPr fontId="5"/>
  </si>
  <si>
    <t>１の位</t>
    <rPh sb="2" eb="3">
      <t>クライ</t>
    </rPh>
    <phoneticPr fontId="5"/>
  </si>
  <si>
    <t>１０の位</t>
    <rPh sb="3" eb="4">
      <t>クライ</t>
    </rPh>
    <phoneticPr fontId="5"/>
  </si>
  <si>
    <t>表示採用</t>
    <rPh sb="0" eb="2">
      <t>ヒョウジ</t>
    </rPh>
    <rPh sb="2" eb="4">
      <t>サイヨウ</t>
    </rPh>
    <phoneticPr fontId="5"/>
  </si>
  <si>
    <t>選択肢</t>
    <rPh sb="0" eb="3">
      <t>センタクシ</t>
    </rPh>
    <phoneticPr fontId="5"/>
  </si>
  <si>
    <t>Lv30</t>
    <phoneticPr fontId="5"/>
  </si>
  <si>
    <t>Lv40</t>
    <phoneticPr fontId="5"/>
  </si>
  <si>
    <t>Lv50</t>
  </si>
  <si>
    <t>Lv60</t>
  </si>
  <si>
    <t>Lv70</t>
  </si>
  <si>
    <t>Lv80</t>
  </si>
  <si>
    <t>Lv90</t>
  </si>
  <si>
    <t>Lv</t>
    <phoneticPr fontId="5"/>
  </si>
  <si>
    <t>回数</t>
    <rPh sb="0" eb="2">
      <t>カイスウ</t>
    </rPh>
    <phoneticPr fontId="5"/>
  </si>
  <si>
    <t>繰り上げの必要性</t>
    <rPh sb="0" eb="1">
      <t>ク</t>
    </rPh>
    <rPh sb="2" eb="3">
      <t>ア</t>
    </rPh>
    <rPh sb="5" eb="8">
      <t>ヒツヨウセイ</t>
    </rPh>
    <phoneticPr fontId="5"/>
  </si>
  <si>
    <t>繰上</t>
    <rPh sb="0" eb="1">
      <t>ク</t>
    </rPh>
    <rPh sb="1" eb="2">
      <t>ア</t>
    </rPh>
    <phoneticPr fontId="5"/>
  </si>
  <si>
    <t>（ベース）</t>
    <phoneticPr fontId="5"/>
  </si>
  <si>
    <t>キャパ</t>
    <phoneticPr fontId="5"/>
  </si>
  <si>
    <t>加算値</t>
    <rPh sb="0" eb="2">
      <t>カサン</t>
    </rPh>
    <rPh sb="2" eb="3">
      <t>チ</t>
    </rPh>
    <phoneticPr fontId="5"/>
  </si>
  <si>
    <t>個数の端数</t>
    <rPh sb="0" eb="2">
      <t>コスウ</t>
    </rPh>
    <rPh sb="3" eb="5">
      <t>ハスウ</t>
    </rPh>
    <phoneticPr fontId="5"/>
  </si>
  <si>
    <t>-</t>
    <phoneticPr fontId="5"/>
  </si>
  <si>
    <t>繰上値の送り先位置</t>
    <rPh sb="0" eb="1">
      <t>ク</t>
    </rPh>
    <rPh sb="1" eb="2">
      <t>ア</t>
    </rPh>
    <rPh sb="2" eb="3">
      <t>チ</t>
    </rPh>
    <rPh sb="4" eb="5">
      <t>オク</t>
    </rPh>
    <rPh sb="6" eb="7">
      <t>サキ</t>
    </rPh>
    <rPh sb="7" eb="9">
      <t>イチ</t>
    </rPh>
    <phoneticPr fontId="5"/>
  </si>
  <si>
    <t>採用判定</t>
    <rPh sb="0" eb="2">
      <t>サイヨウ</t>
    </rPh>
    <rPh sb="2" eb="4">
      <t>ハンテイ</t>
    </rPh>
    <phoneticPr fontId="5"/>
  </si>
  <si>
    <t>必要個数（10の位）</t>
    <rPh sb="0" eb="2">
      <t>ヒツヨウ</t>
    </rPh>
    <rPh sb="2" eb="4">
      <t>コスウ</t>
    </rPh>
    <rPh sb="8" eb="9">
      <t>クライ</t>
    </rPh>
    <phoneticPr fontId="5"/>
  </si>
  <si>
    <t>必要個数（表示用）</t>
    <rPh sb="0" eb="2">
      <t>ヒツヨウ</t>
    </rPh>
    <rPh sb="2" eb="4">
      <t>コスウ</t>
    </rPh>
    <rPh sb="5" eb="8">
      <t>ヒョウジヨウ</t>
    </rPh>
    <phoneticPr fontId="5"/>
  </si>
  <si>
    <t>Lv1～時</t>
    <rPh sb="4" eb="5">
      <t>ジ</t>
    </rPh>
    <phoneticPr fontId="5"/>
  </si>
  <si>
    <t>りんご</t>
    <phoneticPr fontId="5"/>
  </si>
  <si>
    <t>～R2</t>
  </si>
  <si>
    <t>～R3</t>
  </si>
  <si>
    <t>～目標</t>
  </si>
  <si>
    <t>Rank</t>
    <phoneticPr fontId="5"/>
  </si>
  <si>
    <t>Lv30</t>
  </si>
  <si>
    <t>Lv40</t>
  </si>
  <si>
    <t>（ベース）</t>
  </si>
  <si>
    <t>経験値ブースト</t>
    <rPh sb="0" eb="3">
      <t>ケイケンチ</t>
    </rPh>
    <phoneticPr fontId="5"/>
  </si>
  <si>
    <t>初期レベル（Lv１ or 設定Lv）から目標レベル（リユニLv or 設定Lv）までレベルを上げるのに必要となるりんご（魔力の結晶）の数を計算します。</t>
    <rPh sb="0" eb="2">
      <t>ショキ</t>
    </rPh>
    <rPh sb="13" eb="15">
      <t>セッテイ</t>
    </rPh>
    <rPh sb="20" eb="22">
      <t>モクヒョウ</t>
    </rPh>
    <rPh sb="35" eb="37">
      <t>セッテイ</t>
    </rPh>
    <rPh sb="46" eb="47">
      <t>ア</t>
    </rPh>
    <rPh sb="51" eb="53">
      <t>ヒツヨウ</t>
    </rPh>
    <rPh sb="60" eb="62">
      <t>マリョク</t>
    </rPh>
    <rPh sb="63" eb="65">
      <t>ケッショウ</t>
    </rPh>
    <rPh sb="67" eb="68">
      <t>カズ</t>
    </rPh>
    <rPh sb="69" eb="71">
      <t>ケイサン</t>
    </rPh>
    <phoneticPr fontId="5"/>
  </si>
  <si>
    <t>レベル設定（初期レベルと目標レベル）をする場合も設定値を入れて下さい。</t>
    <rPh sb="21" eb="23">
      <t>バアイ</t>
    </rPh>
    <rPh sb="24" eb="27">
      <t>セッテイチ</t>
    </rPh>
    <rPh sb="28" eb="29">
      <t>イ</t>
    </rPh>
    <rPh sb="31" eb="32">
      <t>クダ</t>
    </rPh>
    <phoneticPr fontId="5"/>
  </si>
  <si>
    <r>
      <t>←この色のセルに、経験値の高揚を入れて下さい。</t>
    </r>
    <r>
      <rPr>
        <u/>
        <sz val="10"/>
        <color theme="1"/>
        <rFont val="Meiryo UI"/>
        <family val="3"/>
        <charset val="128"/>
      </rPr>
      <t>ただし、悪魔学のエキスパ分（クラス２ごとに２％）は、『悪魔学等』のセルに入れて下さい</t>
    </r>
    <r>
      <rPr>
        <sz val="10"/>
        <color theme="1"/>
        <rFont val="Meiryo UI"/>
        <family val="3"/>
        <charset val="128"/>
      </rPr>
      <t>。</t>
    </r>
    <rPh sb="3" eb="4">
      <t>イロ</t>
    </rPh>
    <rPh sb="9" eb="12">
      <t>ケイケンチ</t>
    </rPh>
    <rPh sb="13" eb="15">
      <t>コウヨウ</t>
    </rPh>
    <rPh sb="16" eb="17">
      <t>イ</t>
    </rPh>
    <rPh sb="19" eb="20">
      <t>クダ</t>
    </rPh>
    <rPh sb="27" eb="29">
      <t>アクマ</t>
    </rPh>
    <rPh sb="29" eb="30">
      <t>ガク</t>
    </rPh>
    <rPh sb="35" eb="36">
      <t>ブン</t>
    </rPh>
    <rPh sb="50" eb="52">
      <t>アクマ</t>
    </rPh>
    <rPh sb="52" eb="53">
      <t>ガク</t>
    </rPh>
    <rPh sb="53" eb="54">
      <t>トウ</t>
    </rPh>
    <rPh sb="59" eb="60">
      <t>イ</t>
    </rPh>
    <rPh sb="62" eb="63">
      <t>クダ</t>
    </rPh>
    <phoneticPr fontId="5"/>
  </si>
  <si>
    <t>説明（使い方）</t>
    <rPh sb="0" eb="2">
      <t>セツメイ</t>
    </rPh>
    <rPh sb="3" eb="4">
      <t>ツカ</t>
    </rPh>
    <rPh sb="5" eb="6">
      <t>カタ</t>
    </rPh>
    <phoneticPr fontId="5"/>
  </si>
  <si>
    <t>設定値に応じた選択肢別の渡す回数を自動で計算します。　</t>
    <rPh sb="0" eb="3">
      <t>セッテイチ</t>
    </rPh>
    <rPh sb="4" eb="5">
      <t>オウ</t>
    </rPh>
    <rPh sb="7" eb="10">
      <t>センタクシ</t>
    </rPh>
    <rPh sb="10" eb="11">
      <t>ベツ</t>
    </rPh>
    <rPh sb="12" eb="13">
      <t>ワタ</t>
    </rPh>
    <rPh sb="14" eb="16">
      <t>カイスウ</t>
    </rPh>
    <rPh sb="17" eb="19">
      <t>ジドウ</t>
    </rPh>
    <rPh sb="20" eb="22">
      <t>ケイサン</t>
    </rPh>
    <phoneticPr fontId="5"/>
  </si>
  <si>
    <t>経験値高揚確認のため、りんご10個を実際に渡したときの経験値が計算値とほぼ合うか、事前に確認しておくのをお勧めします。</t>
    <rPh sb="18" eb="20">
      <t>ジッサイ</t>
    </rPh>
    <rPh sb="21" eb="22">
      <t>ワタ</t>
    </rPh>
    <rPh sb="31" eb="34">
      <t>ケイサンチ</t>
    </rPh>
    <rPh sb="37" eb="38">
      <t>ア</t>
    </rPh>
    <rPh sb="41" eb="43">
      <t>ジゼン</t>
    </rPh>
    <rPh sb="44" eb="46">
      <t>カクニン</t>
    </rPh>
    <rPh sb="53" eb="54">
      <t>スス</t>
    </rPh>
    <phoneticPr fontId="5"/>
  </si>
  <si>
    <t>☆注意点</t>
    <rPh sb="1" eb="4">
      <t>チュウイテン</t>
    </rPh>
    <phoneticPr fontId="5"/>
  </si>
  <si>
    <t>値を合計に加える　</t>
    <rPh sb="0" eb="1">
      <t>アタイ</t>
    </rPh>
    <rPh sb="2" eb="4">
      <t>ゴウケイ</t>
    </rPh>
    <rPh sb="5" eb="6">
      <t>クワ</t>
    </rPh>
    <phoneticPr fontId="5"/>
  </si>
  <si>
    <t>りんご必要個数を
端数まで表示する</t>
    <rPh sb="3" eb="5">
      <t>ヒツヨウ</t>
    </rPh>
    <rPh sb="5" eb="7">
      <t>コスウ</t>
    </rPh>
    <rPh sb="9" eb="11">
      <t>ハスウ</t>
    </rPh>
    <rPh sb="13" eb="15">
      <t>ヒョウジ</t>
    </rPh>
    <phoneticPr fontId="5"/>
  </si>
  <si>
    <t>端数や精度の関係で、中々ぴったりは合いません。
あくまで参考程度でお願いします。
このシートはコピーして使えません。</t>
    <rPh sb="0" eb="2">
      <t>ハスウ</t>
    </rPh>
    <rPh sb="3" eb="5">
      <t>セイド</t>
    </rPh>
    <rPh sb="6" eb="8">
      <t>カンケイ</t>
    </rPh>
    <rPh sb="10" eb="12">
      <t>ナカナカ</t>
    </rPh>
    <rPh sb="17" eb="18">
      <t>ア</t>
    </rPh>
    <rPh sb="28" eb="30">
      <t>サンコウ</t>
    </rPh>
    <rPh sb="30" eb="32">
      <t>テイド</t>
    </rPh>
    <rPh sb="34" eb="35">
      <t>ネガ</t>
    </rPh>
    <rPh sb="52" eb="53">
      <t>ツカ</t>
    </rPh>
    <phoneticPr fontId="5"/>
  </si>
</sst>
</file>

<file path=xl/styles.xml><?xml version="1.0" encoding="utf-8"?>
<styleSheet xmlns="http://schemas.openxmlformats.org/spreadsheetml/2006/main">
  <numFmts count="5">
    <numFmt numFmtId="176" formatCode="&quot;～&quot;General"/>
    <numFmt numFmtId="177" formatCode="General&quot; 個&quot;"/>
    <numFmt numFmtId="178" formatCode="General&quot; 回&quot;"/>
    <numFmt numFmtId="179" formatCode="#,##0.0;[Red]\-#,##0.0"/>
    <numFmt numFmtId="181" formatCode="0.0%"/>
  </numFmts>
  <fonts count="39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66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1"/>
      <color rgb="FF00B0F0"/>
      <name val="Meiryo UI"/>
      <family val="3"/>
      <charset val="128"/>
    </font>
    <font>
      <b/>
      <sz val="11"/>
      <color theme="0" tint="-0.249977111117893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9"/>
      <color theme="0" tint="-0.249977111117893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6" tint="-0.499984740745262"/>
      <name val="ＭＳ Ｐゴシック"/>
      <family val="2"/>
      <charset val="128"/>
      <scheme val="minor"/>
    </font>
    <font>
      <sz val="10"/>
      <color theme="6" tint="-0.499984740745262"/>
      <name val="ＭＳ Ｐゴシック"/>
      <family val="3"/>
      <charset val="128"/>
      <scheme val="minor"/>
    </font>
    <font>
      <b/>
      <sz val="10"/>
      <color theme="6" tint="-0.499984740745262"/>
      <name val="ＭＳ Ｐゴシック"/>
      <family val="3"/>
      <charset val="128"/>
      <scheme val="minor"/>
    </font>
    <font>
      <sz val="9"/>
      <color theme="6" tint="-0.499984740745262"/>
      <name val="ＭＳ Ｐゴシック"/>
      <family val="3"/>
      <charset val="128"/>
      <scheme val="minor"/>
    </font>
    <font>
      <b/>
      <sz val="9"/>
      <color theme="6" tint="-0.499984740745262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  <scheme val="minor"/>
    </font>
    <font>
      <sz val="10"/>
      <color theme="3"/>
      <name val="ＭＳ Ｐゴシック"/>
      <family val="2"/>
      <charset val="128"/>
      <scheme val="minor"/>
    </font>
    <font>
      <b/>
      <sz val="10"/>
      <color theme="3"/>
      <name val="ＭＳ Ｐゴシック"/>
      <family val="3"/>
      <charset val="128"/>
      <scheme val="minor"/>
    </font>
    <font>
      <sz val="9"/>
      <color theme="3"/>
      <name val="ＭＳ Ｐゴシック"/>
      <family val="3"/>
      <charset val="128"/>
      <scheme val="minor"/>
    </font>
    <font>
      <b/>
      <sz val="9"/>
      <color theme="3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u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EE2EA"/>
        <bgColor indexed="64"/>
      </patternFill>
    </fill>
    <fill>
      <patternFill patternType="solid">
        <fgColor rgb="FFE7FFFA"/>
        <bgColor indexed="64"/>
      </patternFill>
    </fill>
    <fill>
      <patternFill patternType="solid">
        <fgColor theme="2" tint="-9.9978637043366805E-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0" applyNumberFormat="1" applyFont="1">
      <alignment vertical="center"/>
    </xf>
    <xf numFmtId="0" fontId="6" fillId="0" borderId="0" xfId="0" applyFont="1" applyAlignment="1"/>
    <xf numFmtId="38" fontId="7" fillId="0" borderId="0" xfId="0" applyNumberFormat="1" applyFont="1" applyAlignment="1">
      <alignment horizontal="right" vertical="center"/>
    </xf>
    <xf numFmtId="38" fontId="8" fillId="0" borderId="1" xfId="0" applyNumberFormat="1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9" fontId="4" fillId="2" borderId="3" xfId="2" applyFont="1" applyFill="1" applyBorder="1">
      <alignment vertical="center"/>
    </xf>
    <xf numFmtId="0" fontId="10" fillId="0" borderId="0" xfId="0" applyFont="1">
      <alignment vertical="center"/>
    </xf>
    <xf numFmtId="9" fontId="11" fillId="0" borderId="4" xfId="2" applyNumberFormat="1" applyFont="1" applyFill="1" applyBorder="1" applyAlignment="1">
      <alignment horizontal="center" vertical="center" shrinkToFit="1"/>
    </xf>
    <xf numFmtId="38" fontId="10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9" fontId="6" fillId="3" borderId="3" xfId="2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9" fontId="6" fillId="4" borderId="3" xfId="2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indent="2"/>
    </xf>
    <xf numFmtId="0" fontId="6" fillId="0" borderId="10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9" fontId="6" fillId="0" borderId="0" xfId="2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6" fillId="5" borderId="20" xfId="0" applyFont="1" applyFill="1" applyBorder="1" applyAlignment="1">
      <alignment horizontal="center" vertical="center" shrinkToFit="1"/>
    </xf>
    <xf numFmtId="0" fontId="6" fillId="5" borderId="21" xfId="0" applyFont="1" applyFill="1" applyBorder="1" applyAlignment="1">
      <alignment horizontal="center" vertical="center" shrinkToFit="1"/>
    </xf>
    <xf numFmtId="176" fontId="11" fillId="2" borderId="22" xfId="0" applyNumberFormat="1" applyFont="1" applyFill="1" applyBorder="1" applyAlignment="1">
      <alignment horizontal="center" vertical="center" shrinkToFit="1"/>
    </xf>
    <xf numFmtId="0" fontId="4" fillId="0" borderId="23" xfId="0" applyFont="1" applyBorder="1">
      <alignment vertical="center"/>
    </xf>
    <xf numFmtId="9" fontId="4" fillId="2" borderId="23" xfId="2" applyFont="1" applyFill="1" applyBorder="1">
      <alignment vertical="center"/>
    </xf>
    <xf numFmtId="0" fontId="9" fillId="6" borderId="24" xfId="0" applyFont="1" applyFill="1" applyBorder="1" applyAlignment="1">
      <alignment horizontal="centerContinuous" vertical="center"/>
    </xf>
    <xf numFmtId="0" fontId="4" fillId="6" borderId="25" xfId="0" applyFont="1" applyFill="1" applyBorder="1" applyAlignment="1">
      <alignment horizontal="centerContinuous" vertical="center"/>
    </xf>
    <xf numFmtId="38" fontId="15" fillId="6" borderId="26" xfId="0" applyNumberFormat="1" applyFont="1" applyFill="1" applyBorder="1" applyAlignment="1">
      <alignment horizontal="center" vertical="center" shrinkToFit="1"/>
    </xf>
    <xf numFmtId="38" fontId="15" fillId="6" borderId="27" xfId="0" applyNumberFormat="1" applyFont="1" applyFill="1" applyBorder="1" applyAlignment="1">
      <alignment horizontal="center" vertical="center" shrinkToFit="1"/>
    </xf>
    <xf numFmtId="38" fontId="15" fillId="6" borderId="28" xfId="0" applyNumberFormat="1" applyFont="1" applyFill="1" applyBorder="1" applyAlignment="1">
      <alignment horizontal="center" vertical="center" shrinkToFit="1"/>
    </xf>
    <xf numFmtId="0" fontId="4" fillId="0" borderId="29" xfId="0" applyFont="1" applyBorder="1">
      <alignment vertical="center"/>
    </xf>
    <xf numFmtId="9" fontId="4" fillId="2" borderId="29" xfId="2" applyFont="1" applyFill="1" applyBorder="1">
      <alignment vertical="center"/>
    </xf>
    <xf numFmtId="0" fontId="4" fillId="0" borderId="7" xfId="0" applyFont="1" applyBorder="1" applyAlignment="1">
      <alignment horizontal="center" vertical="center" textRotation="255"/>
    </xf>
    <xf numFmtId="177" fontId="4" fillId="0" borderId="30" xfId="0" applyNumberFormat="1" applyFont="1" applyBorder="1" applyAlignment="1">
      <alignment horizontal="right" vertical="center"/>
    </xf>
    <xf numFmtId="178" fontId="16" fillId="0" borderId="31" xfId="0" applyNumberFormat="1" applyFont="1" applyBorder="1" applyAlignment="1">
      <alignment horizontal="center" vertical="center" shrinkToFit="1"/>
    </xf>
    <xf numFmtId="178" fontId="16" fillId="0" borderId="32" xfId="0" applyNumberFormat="1" applyFont="1" applyBorder="1" applyAlignment="1">
      <alignment horizontal="center" vertical="center" shrinkToFit="1"/>
    </xf>
    <xf numFmtId="178" fontId="16" fillId="0" borderId="33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textRotation="255"/>
    </xf>
    <xf numFmtId="177" fontId="4" fillId="7" borderId="35" xfId="0" applyNumberFormat="1" applyFont="1" applyFill="1" applyBorder="1" applyAlignment="1">
      <alignment horizontal="right" vertical="center"/>
    </xf>
    <xf numFmtId="178" fontId="16" fillId="7" borderId="36" xfId="0" applyNumberFormat="1" applyFont="1" applyFill="1" applyBorder="1" applyAlignment="1">
      <alignment horizontal="center" vertical="center" shrinkToFit="1"/>
    </xf>
    <xf numFmtId="178" fontId="16" fillId="7" borderId="37" xfId="0" applyNumberFormat="1" applyFont="1" applyFill="1" applyBorder="1" applyAlignment="1">
      <alignment horizontal="center" vertical="center" shrinkToFit="1"/>
    </xf>
    <xf numFmtId="178" fontId="16" fillId="7" borderId="38" xfId="0" applyNumberFormat="1" applyFont="1" applyFill="1" applyBorder="1" applyAlignment="1">
      <alignment horizontal="center" vertical="center" shrinkToFit="1"/>
    </xf>
    <xf numFmtId="177" fontId="4" fillId="0" borderId="35" xfId="0" applyNumberFormat="1" applyFont="1" applyBorder="1" applyAlignment="1">
      <alignment horizontal="right" vertical="center"/>
    </xf>
    <xf numFmtId="178" fontId="16" fillId="0" borderId="36" xfId="0" applyNumberFormat="1" applyFont="1" applyBorder="1" applyAlignment="1">
      <alignment horizontal="center" vertical="center" shrinkToFit="1"/>
    </xf>
    <xf numFmtId="178" fontId="16" fillId="0" borderId="37" xfId="0" applyNumberFormat="1" applyFont="1" applyBorder="1" applyAlignment="1">
      <alignment horizontal="center" vertical="center" shrinkToFit="1"/>
    </xf>
    <xf numFmtId="178" fontId="16" fillId="0" borderId="38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textRotation="255"/>
    </xf>
    <xf numFmtId="177" fontId="4" fillId="0" borderId="39" xfId="0" applyNumberFormat="1" applyFont="1" applyBorder="1" applyAlignment="1">
      <alignment horizontal="right" vertical="center"/>
    </xf>
    <xf numFmtId="178" fontId="16" fillId="0" borderId="40" xfId="0" applyNumberFormat="1" applyFont="1" applyBorder="1" applyAlignment="1">
      <alignment horizontal="center" vertical="center" shrinkToFit="1"/>
    </xf>
    <xf numFmtId="178" fontId="16" fillId="0" borderId="41" xfId="0" applyNumberFormat="1" applyFont="1" applyBorder="1" applyAlignment="1">
      <alignment horizontal="center" vertical="center" shrinkToFit="1"/>
    </xf>
    <xf numFmtId="178" fontId="16" fillId="0" borderId="42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Continuous" vertical="center"/>
    </xf>
    <xf numFmtId="0" fontId="4" fillId="0" borderId="44" xfId="0" applyFont="1" applyBorder="1" applyAlignment="1">
      <alignment horizontal="centerContinuous" vertical="center"/>
    </xf>
    <xf numFmtId="177" fontId="17" fillId="0" borderId="14" xfId="0" applyNumberFormat="1" applyFont="1" applyBorder="1" applyAlignment="1">
      <alignment horizontal="center" vertical="center"/>
    </xf>
    <xf numFmtId="177" fontId="17" fillId="0" borderId="15" xfId="0" applyNumberFormat="1" applyFont="1" applyBorder="1" applyAlignment="1">
      <alignment horizontal="center" vertical="center"/>
    </xf>
    <xf numFmtId="177" fontId="17" fillId="0" borderId="45" xfId="0" applyNumberFormat="1" applyFont="1" applyBorder="1" applyAlignment="1">
      <alignment horizontal="center" vertical="center"/>
    </xf>
    <xf numFmtId="176" fontId="11" fillId="5" borderId="46" xfId="0" applyNumberFormat="1" applyFont="1" applyFill="1" applyBorder="1" applyAlignment="1">
      <alignment horizontal="center" vertical="center" shrinkToFit="1"/>
    </xf>
    <xf numFmtId="9" fontId="4" fillId="0" borderId="0" xfId="2" applyNumberFormat="1" applyFont="1">
      <alignment vertical="center"/>
    </xf>
    <xf numFmtId="38" fontId="18" fillId="0" borderId="0" xfId="1" applyFon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45" xfId="0" applyBorder="1" applyAlignment="1">
      <alignment horizontal="center" vertical="center"/>
    </xf>
    <xf numFmtId="38" fontId="18" fillId="0" borderId="43" xfId="1" applyFont="1" applyBorder="1">
      <alignment vertical="center"/>
    </xf>
    <xf numFmtId="38" fontId="18" fillId="0" borderId="47" xfId="1" applyFont="1" applyBorder="1">
      <alignment vertical="center"/>
    </xf>
    <xf numFmtId="0" fontId="0" fillId="0" borderId="3" xfId="0" applyBorder="1">
      <alignment vertical="center"/>
    </xf>
    <xf numFmtId="9" fontId="0" fillId="0" borderId="3" xfId="2" applyNumberFormat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48" xfId="0" applyBorder="1">
      <alignment vertical="center"/>
    </xf>
    <xf numFmtId="0" fontId="19" fillId="0" borderId="48" xfId="0" applyFont="1" applyBorder="1" applyAlignment="1">
      <alignment horizontal="center" vertical="center"/>
    </xf>
    <xf numFmtId="38" fontId="19" fillId="0" borderId="48" xfId="1" applyFont="1" applyBorder="1" applyAlignment="1">
      <alignment horizontal="center" vertical="center"/>
    </xf>
    <xf numFmtId="9" fontId="0" fillId="0" borderId="3" xfId="2" applyFont="1" applyBorder="1">
      <alignment vertical="center"/>
    </xf>
    <xf numFmtId="9" fontId="0" fillId="0" borderId="3" xfId="0" applyNumberFormat="1" applyBorder="1">
      <alignment vertical="center"/>
    </xf>
    <xf numFmtId="0" fontId="0" fillId="0" borderId="49" xfId="0" applyBorder="1">
      <alignment vertical="center"/>
    </xf>
    <xf numFmtId="0" fontId="20" fillId="0" borderId="49" xfId="0" applyFont="1" applyBorder="1">
      <alignment vertical="center"/>
    </xf>
    <xf numFmtId="38" fontId="18" fillId="0" borderId="49" xfId="1" applyFont="1" applyBorder="1">
      <alignment vertical="center"/>
    </xf>
    <xf numFmtId="0" fontId="0" fillId="0" borderId="50" xfId="0" applyBorder="1">
      <alignment vertical="center"/>
    </xf>
    <xf numFmtId="0" fontId="20" fillId="0" borderId="50" xfId="0" applyFont="1" applyBorder="1">
      <alignment vertical="center"/>
    </xf>
    <xf numFmtId="38" fontId="18" fillId="0" borderId="50" xfId="1" applyFont="1" applyBorder="1">
      <alignment vertical="center"/>
    </xf>
    <xf numFmtId="0" fontId="20" fillId="0" borderId="0" xfId="0" applyFont="1">
      <alignment vertical="center"/>
    </xf>
    <xf numFmtId="10" fontId="0" fillId="0" borderId="3" xfId="2" applyNumberFormat="1" applyFont="1" applyBorder="1">
      <alignment vertical="center"/>
    </xf>
    <xf numFmtId="0" fontId="0" fillId="0" borderId="23" xfId="0" applyBorder="1">
      <alignment vertical="center"/>
    </xf>
    <xf numFmtId="38" fontId="0" fillId="0" borderId="23" xfId="1" applyFont="1" applyBorder="1">
      <alignment vertical="center"/>
    </xf>
    <xf numFmtId="0" fontId="0" fillId="0" borderId="23" xfId="0" applyBorder="1" applyAlignment="1">
      <alignment vertical="center"/>
    </xf>
    <xf numFmtId="0" fontId="0" fillId="0" borderId="51" xfId="0" applyBorder="1">
      <alignment vertical="center"/>
    </xf>
    <xf numFmtId="38" fontId="0" fillId="0" borderId="51" xfId="1" applyFont="1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>
      <alignment vertical="center"/>
    </xf>
    <xf numFmtId="38" fontId="0" fillId="0" borderId="52" xfId="1" applyFont="1" applyBorder="1">
      <alignment vertical="center"/>
    </xf>
    <xf numFmtId="38" fontId="21" fillId="0" borderId="53" xfId="1" applyFont="1" applyBorder="1">
      <alignment vertical="center"/>
    </xf>
    <xf numFmtId="38" fontId="21" fillId="0" borderId="54" xfId="1" applyFont="1" applyBorder="1">
      <alignment vertical="center"/>
    </xf>
    <xf numFmtId="0" fontId="22" fillId="0" borderId="54" xfId="0" applyFont="1" applyBorder="1">
      <alignment vertical="center"/>
    </xf>
    <xf numFmtId="38" fontId="22" fillId="0" borderId="54" xfId="1" applyFont="1" applyBorder="1" applyAlignment="1">
      <alignment horizontal="center" vertical="center"/>
    </xf>
    <xf numFmtId="0" fontId="22" fillId="0" borderId="55" xfId="0" applyFont="1" applyBorder="1">
      <alignment vertical="center"/>
    </xf>
    <xf numFmtId="0" fontId="22" fillId="0" borderId="56" xfId="0" applyFont="1" applyBorder="1">
      <alignment vertical="center"/>
    </xf>
    <xf numFmtId="0" fontId="22" fillId="0" borderId="52" xfId="0" applyFont="1" applyBorder="1">
      <alignment vertical="center"/>
    </xf>
    <xf numFmtId="0" fontId="22" fillId="0" borderId="57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0" fillId="0" borderId="55" xfId="0" applyBorder="1">
      <alignment vertical="center"/>
    </xf>
    <xf numFmtId="38" fontId="21" fillId="0" borderId="57" xfId="1" applyFont="1" applyBorder="1">
      <alignment vertical="center"/>
    </xf>
    <xf numFmtId="0" fontId="22" fillId="0" borderId="58" xfId="0" applyFont="1" applyBorder="1" applyAlignment="1">
      <alignment horizontal="center" vertical="center"/>
    </xf>
    <xf numFmtId="38" fontId="22" fillId="0" borderId="58" xfId="1" applyFont="1" applyBorder="1" applyAlignment="1">
      <alignment horizontal="center" vertical="center"/>
    </xf>
    <xf numFmtId="0" fontId="22" fillId="0" borderId="58" xfId="0" applyFont="1" applyBorder="1">
      <alignment vertical="center"/>
    </xf>
    <xf numFmtId="0" fontId="22" fillId="0" borderId="5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0" fillId="0" borderId="58" xfId="0" applyBorder="1">
      <alignment vertical="center"/>
    </xf>
    <xf numFmtId="0" fontId="21" fillId="0" borderId="58" xfId="0" applyFont="1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1" xfId="0" applyBorder="1">
      <alignment vertical="center"/>
    </xf>
    <xf numFmtId="0" fontId="0" fillId="0" borderId="53" xfId="0" applyBorder="1">
      <alignment vertical="center"/>
    </xf>
    <xf numFmtId="0" fontId="22" fillId="0" borderId="61" xfId="0" applyFont="1" applyBorder="1" applyAlignment="1">
      <alignment horizontal="center" vertical="center"/>
    </xf>
    <xf numFmtId="38" fontId="24" fillId="0" borderId="61" xfId="1" applyFont="1" applyBorder="1" applyAlignment="1">
      <alignment vertical="center" shrinkToFit="1"/>
    </xf>
    <xf numFmtId="179" fontId="24" fillId="0" borderId="61" xfId="1" applyNumberFormat="1" applyFont="1" applyBorder="1" applyAlignment="1">
      <alignment vertical="center" shrinkToFit="1"/>
    </xf>
    <xf numFmtId="38" fontId="24" fillId="0" borderId="62" xfId="0" applyNumberFormat="1" applyFont="1" applyBorder="1" applyAlignment="1">
      <alignment vertical="center" shrinkToFit="1"/>
    </xf>
    <xf numFmtId="38" fontId="25" fillId="0" borderId="63" xfId="0" applyNumberFormat="1" applyFont="1" applyBorder="1" applyAlignment="1">
      <alignment vertical="center" shrinkToFit="1"/>
    </xf>
    <xf numFmtId="38" fontId="25" fillId="0" borderId="64" xfId="0" applyNumberFormat="1" applyFont="1" applyBorder="1" applyAlignment="1">
      <alignment vertical="center" shrinkToFit="1"/>
    </xf>
    <xf numFmtId="0" fontId="21" fillId="0" borderId="61" xfId="0" applyFont="1" applyBorder="1">
      <alignment vertical="center"/>
    </xf>
    <xf numFmtId="0" fontId="23" fillId="0" borderId="61" xfId="0" applyFont="1" applyBorder="1" applyAlignment="1">
      <alignment vertical="center" shrinkToFit="1"/>
    </xf>
    <xf numFmtId="0" fontId="21" fillId="0" borderId="59" xfId="0" applyFont="1" applyBorder="1">
      <alignment vertical="center"/>
    </xf>
    <xf numFmtId="0" fontId="22" fillId="0" borderId="65" xfId="0" applyFont="1" applyBorder="1">
      <alignment vertical="center"/>
    </xf>
    <xf numFmtId="0" fontId="23" fillId="0" borderId="3" xfId="0" applyFont="1" applyBorder="1" applyAlignment="1">
      <alignment horizontal="center" vertical="center"/>
    </xf>
    <xf numFmtId="0" fontId="21" fillId="0" borderId="54" xfId="0" applyFont="1" applyBorder="1">
      <alignment vertical="center"/>
    </xf>
    <xf numFmtId="0" fontId="21" fillId="0" borderId="66" xfId="0" applyFont="1" applyBorder="1">
      <alignment vertical="center"/>
    </xf>
    <xf numFmtId="177" fontId="21" fillId="0" borderId="66" xfId="0" applyNumberFormat="1" applyFont="1" applyBorder="1">
      <alignment vertical="center"/>
    </xf>
    <xf numFmtId="0" fontId="22" fillId="0" borderId="36" xfId="0" applyFont="1" applyBorder="1" applyAlignment="1">
      <alignment horizontal="center" vertical="center"/>
    </xf>
    <xf numFmtId="38" fontId="24" fillId="0" borderId="36" xfId="1" applyFont="1" applyBorder="1" applyAlignment="1">
      <alignment vertical="center" shrinkToFit="1"/>
    </xf>
    <xf numFmtId="179" fontId="24" fillId="0" borderId="36" xfId="1" applyNumberFormat="1" applyFont="1" applyBorder="1" applyAlignment="1">
      <alignment vertical="center" shrinkToFit="1"/>
    </xf>
    <xf numFmtId="38" fontId="24" fillId="0" borderId="67" xfId="0" applyNumberFormat="1" applyFont="1" applyBorder="1" applyAlignment="1">
      <alignment vertical="center" shrinkToFit="1"/>
    </xf>
    <xf numFmtId="38" fontId="25" fillId="0" borderId="35" xfId="0" applyNumberFormat="1" applyFont="1" applyBorder="1" applyAlignment="1">
      <alignment vertical="center" shrinkToFit="1"/>
    </xf>
    <xf numFmtId="38" fontId="25" fillId="0" borderId="37" xfId="0" applyNumberFormat="1" applyFont="1" applyBorder="1" applyAlignment="1">
      <alignment vertical="center" shrinkToFit="1"/>
    </xf>
    <xf numFmtId="0" fontId="21" fillId="0" borderId="68" xfId="0" applyFont="1" applyBorder="1">
      <alignment vertical="center"/>
    </xf>
    <xf numFmtId="0" fontId="21" fillId="0" borderId="36" xfId="0" applyFont="1" applyBorder="1">
      <alignment vertical="center"/>
    </xf>
    <xf numFmtId="0" fontId="23" fillId="0" borderId="36" xfId="0" applyFont="1" applyBorder="1" applyAlignment="1">
      <alignment vertical="center" shrinkToFit="1"/>
    </xf>
    <xf numFmtId="0" fontId="22" fillId="0" borderId="66" xfId="0" applyFont="1" applyBorder="1">
      <alignment vertical="center"/>
    </xf>
    <xf numFmtId="177" fontId="22" fillId="0" borderId="66" xfId="0" applyNumberFormat="1" applyFont="1" applyBorder="1">
      <alignment vertical="center"/>
    </xf>
    <xf numFmtId="0" fontId="24" fillId="0" borderId="66" xfId="0" applyFont="1" applyBorder="1">
      <alignment vertical="center"/>
    </xf>
    <xf numFmtId="0" fontId="22" fillId="0" borderId="68" xfId="0" applyFont="1" applyBorder="1">
      <alignment vertical="center"/>
    </xf>
    <xf numFmtId="0" fontId="21" fillId="0" borderId="69" xfId="0" applyFont="1" applyBorder="1">
      <alignment vertical="center"/>
    </xf>
    <xf numFmtId="177" fontId="21" fillId="0" borderId="69" xfId="0" applyNumberFormat="1" applyFont="1" applyBorder="1">
      <alignment vertical="center"/>
    </xf>
    <xf numFmtId="0" fontId="22" fillId="0" borderId="5" xfId="0" applyFont="1" applyBorder="1">
      <alignment vertical="center"/>
    </xf>
    <xf numFmtId="0" fontId="22" fillId="0" borderId="70" xfId="0" applyFont="1" applyBorder="1">
      <alignment vertical="center"/>
    </xf>
    <xf numFmtId="0" fontId="22" fillId="0" borderId="69" xfId="0" applyFont="1" applyBorder="1">
      <alignment vertical="center"/>
    </xf>
    <xf numFmtId="177" fontId="22" fillId="0" borderId="69" xfId="0" applyNumberFormat="1" applyFont="1" applyBorder="1">
      <alignment vertical="center"/>
    </xf>
    <xf numFmtId="0" fontId="24" fillId="0" borderId="69" xfId="0" applyFont="1" applyBorder="1">
      <alignment vertical="center"/>
    </xf>
    <xf numFmtId="0" fontId="22" fillId="0" borderId="60" xfId="0" applyFont="1" applyBorder="1">
      <alignment vertical="center"/>
    </xf>
    <xf numFmtId="0" fontId="22" fillId="0" borderId="53" xfId="0" applyFont="1" applyBorder="1">
      <alignment vertical="center"/>
    </xf>
    <xf numFmtId="0" fontId="22" fillId="0" borderId="71" xfId="0" applyFont="1" applyBorder="1">
      <alignment vertical="center"/>
    </xf>
    <xf numFmtId="177" fontId="22" fillId="0" borderId="71" xfId="0" applyNumberFormat="1" applyFont="1" applyBorder="1">
      <alignment vertical="center"/>
    </xf>
    <xf numFmtId="0" fontId="24" fillId="0" borderId="71" xfId="0" applyFont="1" applyBorder="1">
      <alignment vertical="center"/>
    </xf>
    <xf numFmtId="0" fontId="24" fillId="0" borderId="71" xfId="0" applyFont="1" applyFill="1" applyBorder="1">
      <alignment vertical="center"/>
    </xf>
    <xf numFmtId="0" fontId="21" fillId="0" borderId="58" xfId="0" applyFont="1" applyBorder="1">
      <alignment vertical="center"/>
    </xf>
    <xf numFmtId="0" fontId="21" fillId="0" borderId="72" xfId="0" applyFont="1" applyBorder="1">
      <alignment vertical="center"/>
    </xf>
    <xf numFmtId="0" fontId="23" fillId="0" borderId="72" xfId="0" applyFont="1" applyBorder="1" applyAlignment="1">
      <alignment vertical="center" shrinkToFit="1"/>
    </xf>
    <xf numFmtId="0" fontId="21" fillId="0" borderId="71" xfId="0" applyFont="1" applyBorder="1">
      <alignment vertical="center"/>
    </xf>
    <xf numFmtId="177" fontId="21" fillId="0" borderId="71" xfId="0" applyNumberFormat="1" applyFont="1" applyBorder="1">
      <alignment vertical="center"/>
    </xf>
    <xf numFmtId="38" fontId="24" fillId="0" borderId="66" xfId="0" applyNumberFormat="1" applyFont="1" applyBorder="1" applyAlignment="1">
      <alignment vertical="center" shrinkToFit="1"/>
    </xf>
    <xf numFmtId="38" fontId="24" fillId="0" borderId="69" xfId="0" applyNumberFormat="1" applyFont="1" applyBorder="1" applyAlignment="1">
      <alignment vertical="center" shrinkToFit="1"/>
    </xf>
    <xf numFmtId="0" fontId="22" fillId="0" borderId="72" xfId="0" applyFont="1" applyBorder="1" applyAlignment="1">
      <alignment horizontal="center" vertical="center"/>
    </xf>
    <xf numFmtId="38" fontId="22" fillId="0" borderId="72" xfId="0" applyNumberFormat="1" applyFont="1" applyBorder="1" applyAlignment="1">
      <alignment horizontal="center" vertical="center"/>
    </xf>
    <xf numFmtId="38" fontId="24" fillId="0" borderId="72" xfId="1" applyFont="1" applyBorder="1" applyAlignment="1">
      <alignment vertical="center" shrinkToFit="1"/>
    </xf>
    <xf numFmtId="179" fontId="24" fillId="0" borderId="72" xfId="1" applyNumberFormat="1" applyFont="1" applyBorder="1" applyAlignment="1">
      <alignment vertical="center" shrinkToFit="1"/>
    </xf>
    <xf numFmtId="38" fontId="24" fillId="0" borderId="73" xfId="0" applyNumberFormat="1" applyFont="1" applyBorder="1" applyAlignment="1">
      <alignment vertical="center" shrinkToFit="1"/>
    </xf>
    <xf numFmtId="38" fontId="25" fillId="0" borderId="39" xfId="0" applyNumberFormat="1" applyFont="1" applyBorder="1" applyAlignment="1">
      <alignment vertical="center" shrinkToFit="1"/>
    </xf>
    <xf numFmtId="38" fontId="25" fillId="0" borderId="41" xfId="0" applyNumberFormat="1" applyFont="1" applyBorder="1" applyAlignment="1">
      <alignment vertical="center" shrinkToFit="1"/>
    </xf>
    <xf numFmtId="0" fontId="26" fillId="0" borderId="65" xfId="0" applyFont="1" applyBorder="1">
      <alignment vertical="center"/>
    </xf>
    <xf numFmtId="0" fontId="21" fillId="0" borderId="74" xfId="0" applyFont="1" applyBorder="1">
      <alignment vertical="center"/>
    </xf>
    <xf numFmtId="177" fontId="21" fillId="0" borderId="75" xfId="0" applyNumberFormat="1" applyFont="1" applyBorder="1">
      <alignment vertical="center"/>
    </xf>
    <xf numFmtId="0" fontId="21" fillId="0" borderId="76" xfId="0" applyFont="1" applyBorder="1">
      <alignment vertical="center"/>
    </xf>
    <xf numFmtId="0" fontId="21" fillId="0" borderId="77" xfId="0" applyFont="1" applyBorder="1">
      <alignment vertical="center"/>
    </xf>
    <xf numFmtId="0" fontId="21" fillId="0" borderId="78" xfId="0" applyFont="1" applyBorder="1">
      <alignment vertical="center"/>
    </xf>
    <xf numFmtId="177" fontId="21" fillId="0" borderId="79" xfId="0" applyNumberFormat="1" applyFont="1" applyBorder="1">
      <alignment vertical="center"/>
    </xf>
    <xf numFmtId="0" fontId="21" fillId="0" borderId="80" xfId="0" applyFont="1" applyBorder="1">
      <alignment vertical="center"/>
    </xf>
    <xf numFmtId="0" fontId="26" fillId="0" borderId="0" xfId="0" applyFont="1">
      <alignment vertical="center"/>
    </xf>
    <xf numFmtId="0" fontId="22" fillId="0" borderId="0" xfId="0" applyFont="1">
      <alignment vertical="center"/>
    </xf>
    <xf numFmtId="0" fontId="21" fillId="0" borderId="81" xfId="0" applyFont="1" applyBorder="1">
      <alignment vertical="center"/>
    </xf>
    <xf numFmtId="38" fontId="24" fillId="0" borderId="81" xfId="0" applyNumberFormat="1" applyFont="1" applyBorder="1" applyAlignment="1">
      <alignment vertical="center" shrinkToFit="1"/>
    </xf>
    <xf numFmtId="0" fontId="21" fillId="0" borderId="3" xfId="0" applyFont="1" applyFill="1" applyBorder="1">
      <alignment vertical="center"/>
    </xf>
    <xf numFmtId="0" fontId="24" fillId="0" borderId="3" xfId="0" applyFont="1" applyFill="1" applyBorder="1" applyAlignment="1">
      <alignment vertical="center" shrinkToFit="1"/>
    </xf>
    <xf numFmtId="0" fontId="21" fillId="0" borderId="82" xfId="0" applyFont="1" applyBorder="1">
      <alignment vertical="center"/>
    </xf>
    <xf numFmtId="177" fontId="21" fillId="0" borderId="83" xfId="0" applyNumberFormat="1" applyFont="1" applyBorder="1">
      <alignment vertical="center"/>
    </xf>
    <xf numFmtId="0" fontId="21" fillId="0" borderId="84" xfId="0" applyFont="1" applyBorder="1">
      <alignment vertical="center"/>
    </xf>
    <xf numFmtId="0" fontId="21" fillId="0" borderId="85" xfId="0" applyFont="1" applyBorder="1">
      <alignment vertical="center"/>
    </xf>
    <xf numFmtId="38" fontId="20" fillId="8" borderId="0" xfId="0" applyNumberFormat="1" applyFont="1" applyFill="1" applyAlignment="1">
      <alignment horizontal="center" vertical="center"/>
    </xf>
    <xf numFmtId="38" fontId="27" fillId="0" borderId="0" xfId="1" applyFont="1">
      <alignment vertical="center"/>
    </xf>
    <xf numFmtId="38" fontId="26" fillId="0" borderId="0" xfId="1" applyFont="1">
      <alignment vertical="center"/>
    </xf>
    <xf numFmtId="0" fontId="26" fillId="0" borderId="54" xfId="0" applyFont="1" applyBorder="1">
      <alignment vertical="center"/>
    </xf>
    <xf numFmtId="0" fontId="26" fillId="0" borderId="54" xfId="0" applyFont="1" applyBorder="1" applyAlignment="1">
      <alignment horizontal="right" vertical="center"/>
    </xf>
    <xf numFmtId="38" fontId="26" fillId="0" borderId="54" xfId="1" applyFont="1" applyBorder="1" applyAlignment="1">
      <alignment horizontal="center" vertical="center"/>
    </xf>
    <xf numFmtId="0" fontId="26" fillId="0" borderId="55" xfId="0" applyFont="1" applyBorder="1">
      <alignment vertical="center"/>
    </xf>
    <xf numFmtId="0" fontId="26" fillId="0" borderId="56" xfId="0" applyFont="1" applyBorder="1">
      <alignment vertical="center"/>
    </xf>
    <xf numFmtId="0" fontId="26" fillId="0" borderId="52" xfId="0" applyFont="1" applyBorder="1">
      <alignment vertical="center"/>
    </xf>
    <xf numFmtId="0" fontId="26" fillId="0" borderId="57" xfId="0" applyFont="1" applyBorder="1">
      <alignment vertical="center"/>
    </xf>
    <xf numFmtId="38" fontId="27" fillId="0" borderId="54" xfId="1" applyFont="1" applyBorder="1">
      <alignment vertical="center"/>
    </xf>
    <xf numFmtId="0" fontId="27" fillId="0" borderId="54" xfId="0" applyFont="1" applyBorder="1" applyAlignment="1">
      <alignment horizontal="center" vertical="center"/>
    </xf>
    <xf numFmtId="38" fontId="27" fillId="0" borderId="57" xfId="1" applyFont="1" applyBorder="1">
      <alignment vertical="center"/>
    </xf>
    <xf numFmtId="0" fontId="26" fillId="0" borderId="58" xfId="0" applyFont="1" applyBorder="1" applyAlignment="1">
      <alignment horizontal="center" vertical="center"/>
    </xf>
    <xf numFmtId="38" fontId="26" fillId="0" borderId="58" xfId="1" applyFont="1" applyBorder="1" applyAlignment="1">
      <alignment horizontal="center" vertical="center"/>
    </xf>
    <xf numFmtId="0" fontId="26" fillId="0" borderId="58" xfId="0" applyFont="1" applyBorder="1">
      <alignment vertical="center"/>
    </xf>
    <xf numFmtId="0" fontId="26" fillId="0" borderId="59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6" fillId="0" borderId="53" xfId="0" applyFont="1" applyBorder="1">
      <alignment vertical="center"/>
    </xf>
    <xf numFmtId="0" fontId="26" fillId="0" borderId="61" xfId="0" applyFont="1" applyBorder="1" applyAlignment="1">
      <alignment horizontal="center" vertical="center"/>
    </xf>
    <xf numFmtId="38" fontId="29" fillId="0" borderId="61" xfId="1" applyFont="1" applyBorder="1" applyAlignment="1">
      <alignment vertical="center" shrinkToFit="1"/>
    </xf>
    <xf numFmtId="179" fontId="29" fillId="0" borderId="61" xfId="1" applyNumberFormat="1" applyFont="1" applyBorder="1" applyAlignment="1">
      <alignment vertical="center" shrinkToFit="1"/>
    </xf>
    <xf numFmtId="38" fontId="29" fillId="0" borderId="62" xfId="0" applyNumberFormat="1" applyFont="1" applyBorder="1" applyAlignment="1">
      <alignment vertical="center" shrinkToFit="1"/>
    </xf>
    <xf numFmtId="38" fontId="30" fillId="0" borderId="63" xfId="0" applyNumberFormat="1" applyFont="1" applyBorder="1" applyAlignment="1">
      <alignment vertical="center" shrinkToFit="1"/>
    </xf>
    <xf numFmtId="38" fontId="30" fillId="0" borderId="64" xfId="0" applyNumberFormat="1" applyFont="1" applyBorder="1" applyAlignment="1">
      <alignment vertical="center" shrinkToFit="1"/>
    </xf>
    <xf numFmtId="0" fontId="27" fillId="0" borderId="61" xfId="0" applyFont="1" applyBorder="1">
      <alignment vertical="center"/>
    </xf>
    <xf numFmtId="0" fontId="28" fillId="0" borderId="61" xfId="0" applyFont="1" applyBorder="1" applyAlignment="1">
      <alignment vertical="center" shrinkToFit="1"/>
    </xf>
    <xf numFmtId="0" fontId="27" fillId="0" borderId="59" xfId="0" applyFont="1" applyBorder="1">
      <alignment vertical="center"/>
    </xf>
    <xf numFmtId="0" fontId="28" fillId="0" borderId="3" xfId="0" applyFont="1" applyBorder="1" applyAlignment="1">
      <alignment horizontal="center" vertical="center"/>
    </xf>
    <xf numFmtId="0" fontId="27" fillId="0" borderId="54" xfId="0" applyFont="1" applyBorder="1">
      <alignment vertical="center"/>
    </xf>
    <xf numFmtId="0" fontId="27" fillId="0" borderId="66" xfId="0" applyFont="1" applyBorder="1">
      <alignment vertical="center"/>
    </xf>
    <xf numFmtId="177" fontId="27" fillId="0" borderId="66" xfId="0" applyNumberFormat="1" applyFont="1" applyBorder="1">
      <alignment vertical="center"/>
    </xf>
    <xf numFmtId="0" fontId="26" fillId="0" borderId="36" xfId="0" applyFont="1" applyBorder="1" applyAlignment="1">
      <alignment horizontal="center" vertical="center"/>
    </xf>
    <xf numFmtId="38" fontId="29" fillId="0" borderId="36" xfId="1" applyFont="1" applyBorder="1" applyAlignment="1">
      <alignment vertical="center" shrinkToFit="1"/>
    </xf>
    <xf numFmtId="179" fontId="29" fillId="0" borderId="36" xfId="1" applyNumberFormat="1" applyFont="1" applyBorder="1" applyAlignment="1">
      <alignment vertical="center" shrinkToFit="1"/>
    </xf>
    <xf numFmtId="38" fontId="29" fillId="0" borderId="67" xfId="0" applyNumberFormat="1" applyFont="1" applyBorder="1" applyAlignment="1">
      <alignment vertical="center" shrinkToFit="1"/>
    </xf>
    <xf numFmtId="38" fontId="30" fillId="0" borderId="35" xfId="0" applyNumberFormat="1" applyFont="1" applyBorder="1" applyAlignment="1">
      <alignment vertical="center" shrinkToFit="1"/>
    </xf>
    <xf numFmtId="38" fontId="30" fillId="0" borderId="37" xfId="0" applyNumberFormat="1" applyFont="1" applyBorder="1" applyAlignment="1">
      <alignment vertical="center" shrinkToFit="1"/>
    </xf>
    <xf numFmtId="0" fontId="27" fillId="0" borderId="68" xfId="0" applyFont="1" applyBorder="1">
      <alignment vertical="center"/>
    </xf>
    <xf numFmtId="0" fontId="27" fillId="0" borderId="36" xfId="0" applyFont="1" applyFill="1" applyBorder="1">
      <alignment vertical="center"/>
    </xf>
    <xf numFmtId="0" fontId="28" fillId="0" borderId="36" xfId="0" applyFont="1" applyFill="1" applyBorder="1" applyAlignment="1">
      <alignment vertical="center" shrinkToFit="1"/>
    </xf>
    <xf numFmtId="0" fontId="26" fillId="0" borderId="66" xfId="0" applyFont="1" applyBorder="1">
      <alignment vertical="center"/>
    </xf>
    <xf numFmtId="177" fontId="26" fillId="0" borderId="66" xfId="0" applyNumberFormat="1" applyFont="1" applyBorder="1">
      <alignment vertical="center"/>
    </xf>
    <xf numFmtId="0" fontId="29" fillId="0" borderId="66" xfId="0" applyFont="1" applyBorder="1">
      <alignment vertical="center"/>
    </xf>
    <xf numFmtId="0" fontId="26" fillId="0" borderId="68" xfId="0" applyFont="1" applyBorder="1">
      <alignment vertical="center"/>
    </xf>
    <xf numFmtId="0" fontId="27" fillId="0" borderId="69" xfId="0" applyFont="1" applyBorder="1">
      <alignment vertical="center"/>
    </xf>
    <xf numFmtId="177" fontId="27" fillId="0" borderId="69" xfId="0" applyNumberFormat="1" applyFont="1" applyBorder="1">
      <alignment vertical="center"/>
    </xf>
    <xf numFmtId="0" fontId="26" fillId="0" borderId="5" xfId="0" applyFont="1" applyBorder="1">
      <alignment vertical="center"/>
    </xf>
    <xf numFmtId="0" fontId="26" fillId="0" borderId="70" xfId="0" applyFont="1" applyBorder="1">
      <alignment vertical="center"/>
    </xf>
    <xf numFmtId="0" fontId="26" fillId="0" borderId="69" xfId="0" applyFont="1" applyBorder="1">
      <alignment vertical="center"/>
    </xf>
    <xf numFmtId="177" fontId="26" fillId="0" borderId="69" xfId="0" applyNumberFormat="1" applyFont="1" applyBorder="1">
      <alignment vertical="center"/>
    </xf>
    <xf numFmtId="0" fontId="29" fillId="0" borderId="69" xfId="0" applyFont="1" applyBorder="1">
      <alignment vertical="center"/>
    </xf>
    <xf numFmtId="0" fontId="26" fillId="0" borderId="60" xfId="0" applyFont="1" applyBorder="1">
      <alignment vertical="center"/>
    </xf>
    <xf numFmtId="0" fontId="26" fillId="0" borderId="71" xfId="0" applyFont="1" applyBorder="1">
      <alignment vertical="center"/>
    </xf>
    <xf numFmtId="177" fontId="26" fillId="0" borderId="71" xfId="0" applyNumberFormat="1" applyFont="1" applyBorder="1">
      <alignment vertical="center"/>
    </xf>
    <xf numFmtId="0" fontId="29" fillId="0" borderId="71" xfId="0" applyFont="1" applyBorder="1">
      <alignment vertical="center"/>
    </xf>
    <xf numFmtId="0" fontId="29" fillId="0" borderId="71" xfId="0" applyFont="1" applyFill="1" applyBorder="1">
      <alignment vertical="center"/>
    </xf>
    <xf numFmtId="0" fontId="27" fillId="0" borderId="58" xfId="0" applyFont="1" applyBorder="1">
      <alignment vertical="center"/>
    </xf>
    <xf numFmtId="0" fontId="27" fillId="0" borderId="72" xfId="0" applyFont="1" applyBorder="1">
      <alignment vertical="center"/>
    </xf>
    <xf numFmtId="0" fontId="28" fillId="0" borderId="72" xfId="0" applyFont="1" applyBorder="1" applyAlignment="1">
      <alignment vertical="center" shrinkToFit="1"/>
    </xf>
    <xf numFmtId="0" fontId="27" fillId="0" borderId="71" xfId="0" applyFont="1" applyBorder="1">
      <alignment vertical="center"/>
    </xf>
    <xf numFmtId="177" fontId="27" fillId="0" borderId="71" xfId="0" applyNumberFormat="1" applyFont="1" applyBorder="1">
      <alignment vertical="center"/>
    </xf>
    <xf numFmtId="38" fontId="29" fillId="0" borderId="66" xfId="0" applyNumberFormat="1" applyFont="1" applyBorder="1" applyAlignment="1">
      <alignment vertical="center" shrinkToFit="1"/>
    </xf>
    <xf numFmtId="38" fontId="29" fillId="0" borderId="69" xfId="0" applyNumberFormat="1" applyFont="1" applyBorder="1" applyAlignment="1">
      <alignment vertical="center" shrinkToFit="1"/>
    </xf>
    <xf numFmtId="0" fontId="26" fillId="0" borderId="72" xfId="0" applyFont="1" applyBorder="1" applyAlignment="1">
      <alignment horizontal="center" vertical="center"/>
    </xf>
    <xf numFmtId="38" fontId="26" fillId="0" borderId="72" xfId="0" applyNumberFormat="1" applyFont="1" applyBorder="1" applyAlignment="1">
      <alignment horizontal="center" vertical="center"/>
    </xf>
    <xf numFmtId="38" fontId="29" fillId="0" borderId="72" xfId="1" applyFont="1" applyBorder="1" applyAlignment="1">
      <alignment vertical="center" shrinkToFit="1"/>
    </xf>
    <xf numFmtId="179" fontId="29" fillId="0" borderId="72" xfId="1" applyNumberFormat="1" applyFont="1" applyBorder="1" applyAlignment="1">
      <alignment vertical="center" shrinkToFit="1"/>
    </xf>
    <xf numFmtId="38" fontId="29" fillId="0" borderId="73" xfId="0" applyNumberFormat="1" applyFont="1" applyBorder="1" applyAlignment="1">
      <alignment vertical="center" shrinkToFit="1"/>
    </xf>
    <xf numFmtId="38" fontId="30" fillId="0" borderId="39" xfId="0" applyNumberFormat="1" applyFont="1" applyBorder="1" applyAlignment="1">
      <alignment vertical="center" shrinkToFit="1"/>
    </xf>
    <xf numFmtId="38" fontId="30" fillId="0" borderId="41" xfId="0" applyNumberFormat="1" applyFont="1" applyBorder="1" applyAlignment="1">
      <alignment vertical="center" shrinkToFit="1"/>
    </xf>
    <xf numFmtId="0" fontId="27" fillId="0" borderId="74" xfId="0" applyFont="1" applyBorder="1">
      <alignment vertical="center"/>
    </xf>
    <xf numFmtId="177" fontId="27" fillId="0" borderId="75" xfId="0" applyNumberFormat="1" applyFont="1" applyBorder="1">
      <alignment vertical="center"/>
    </xf>
    <xf numFmtId="0" fontId="27" fillId="0" borderId="76" xfId="0" applyFont="1" applyBorder="1">
      <alignment vertical="center"/>
    </xf>
    <xf numFmtId="0" fontId="27" fillId="0" borderId="77" xfId="0" applyFont="1" applyBorder="1">
      <alignment vertical="center"/>
    </xf>
    <xf numFmtId="0" fontId="27" fillId="0" borderId="78" xfId="0" applyFont="1" applyBorder="1">
      <alignment vertical="center"/>
    </xf>
    <xf numFmtId="177" fontId="27" fillId="0" borderId="79" xfId="0" applyNumberFormat="1" applyFont="1" applyFill="1" applyBorder="1">
      <alignment vertical="center"/>
    </xf>
    <xf numFmtId="0" fontId="27" fillId="0" borderId="69" xfId="0" applyFont="1" applyFill="1" applyBorder="1">
      <alignment vertical="center"/>
    </xf>
    <xf numFmtId="0" fontId="27" fillId="0" borderId="80" xfId="0" applyFont="1" applyFill="1" applyBorder="1">
      <alignment vertical="center"/>
    </xf>
    <xf numFmtId="38" fontId="29" fillId="0" borderId="71" xfId="0" applyNumberFormat="1" applyFont="1" applyBorder="1" applyAlignment="1">
      <alignment vertical="center" shrinkToFit="1"/>
    </xf>
    <xf numFmtId="0" fontId="27" fillId="0" borderId="3" xfId="0" applyFont="1" applyFill="1" applyBorder="1">
      <alignment vertical="center"/>
    </xf>
    <xf numFmtId="0" fontId="29" fillId="0" borderId="3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 shrinkToFit="1"/>
    </xf>
    <xf numFmtId="0" fontId="27" fillId="0" borderId="82" xfId="0" applyFont="1" applyBorder="1">
      <alignment vertical="center"/>
    </xf>
    <xf numFmtId="177" fontId="27" fillId="0" borderId="83" xfId="0" applyNumberFormat="1" applyFont="1" applyBorder="1">
      <alignment vertical="center"/>
    </xf>
    <xf numFmtId="0" fontId="27" fillId="0" borderId="84" xfId="0" applyFont="1" applyBorder="1">
      <alignment vertical="center"/>
    </xf>
    <xf numFmtId="0" fontId="27" fillId="0" borderId="85" xfId="0" applyFont="1" applyBorder="1">
      <alignment vertical="center"/>
    </xf>
    <xf numFmtId="181" fontId="4" fillId="0" borderId="0" xfId="0" applyNumberFormat="1" applyFont="1">
      <alignment vertical="center"/>
    </xf>
    <xf numFmtId="10" fontId="0" fillId="0" borderId="3" xfId="0" applyNumberFormat="1" applyBorder="1">
      <alignment vertical="center"/>
    </xf>
    <xf numFmtId="9" fontId="4" fillId="2" borderId="65" xfId="2" applyFont="1" applyFill="1" applyBorder="1">
      <alignment vertical="center"/>
    </xf>
    <xf numFmtId="181" fontId="38" fillId="0" borderId="0" xfId="0" applyNumberFormat="1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19050</xdr:rowOff>
    </xdr:from>
    <xdr:to>
      <xdr:col>1</xdr:col>
      <xdr:colOff>361950</xdr:colOff>
      <xdr:row>2</xdr:row>
      <xdr:rowOff>161925</xdr:rowOff>
    </xdr:to>
    <xdr:sp macro="" textlink="">
      <xdr:nvSpPr>
        <xdr:cNvPr id="2" name="正方形/長方形 1"/>
        <xdr:cNvSpPr/>
      </xdr:nvSpPr>
      <xdr:spPr>
        <a:xfrm>
          <a:off x="247650" y="381000"/>
          <a:ext cx="295275" cy="142875"/>
        </a:xfrm>
        <a:prstGeom prst="rect">
          <a:avLst/>
        </a:prstGeom>
        <a:solidFill>
          <a:srgbClr val="FFFFCC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S46"/>
  <sheetViews>
    <sheetView showGridLines="0" tabSelected="1" workbookViewId="0"/>
  </sheetViews>
  <sheetFormatPr defaultRowHeight="14.25" outlineLevelRow="1"/>
  <cols>
    <col min="1" max="1" width="2.7109375" style="1" customWidth="1"/>
    <col min="2" max="2" width="5.7109375" style="1" customWidth="1"/>
    <col min="3" max="3" width="8.5703125" style="1" customWidth="1"/>
    <col min="4" max="11" width="9.140625" style="1" customWidth="1"/>
    <col min="12" max="12" width="2.7109375" style="1" customWidth="1"/>
    <col min="13" max="13" width="0.85546875" style="1" customWidth="1"/>
    <col min="14" max="14" width="9.140625" style="1"/>
    <col min="15" max="15" width="9.140625" style="1" customWidth="1"/>
    <col min="16" max="16" width="13.7109375" style="1" customWidth="1"/>
    <col min="17" max="17" width="6.7109375" style="1" customWidth="1"/>
    <col min="18" max="18" width="9.140625" style="1"/>
    <col min="19" max="19" width="10" style="1" bestFit="1" customWidth="1"/>
    <col min="20" max="16384" width="9.140625" style="1"/>
  </cols>
  <sheetData>
    <row r="1" spans="1:19">
      <c r="B1" s="1" t="s">
        <v>133</v>
      </c>
    </row>
    <row r="2" spans="1:19" ht="16.5" customHeight="1" outlineLevel="1">
      <c r="B2" s="1" t="s">
        <v>130</v>
      </c>
    </row>
    <row r="3" spans="1:19" ht="16.5" customHeight="1" outlineLevel="1">
      <c r="C3" s="1" t="s">
        <v>132</v>
      </c>
    </row>
    <row r="4" spans="1:19" ht="16.5" customHeight="1" outlineLevel="1">
      <c r="C4" s="1" t="s">
        <v>131</v>
      </c>
    </row>
    <row r="5" spans="1:19" ht="16.5" customHeight="1" outlineLevel="1">
      <c r="B5" s="1" t="s">
        <v>134</v>
      </c>
    </row>
    <row r="6" spans="1:19" ht="16.5" customHeight="1" outlineLevel="1" thickBot="1">
      <c r="B6" s="32" t="s">
        <v>135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9" ht="12" customHeight="1" thickTop="1">
      <c r="H7" s="2"/>
      <c r="I7" s="2"/>
    </row>
    <row r="8" spans="1:19" ht="16.5" thickBot="1">
      <c r="E8" s="3" t="s">
        <v>0</v>
      </c>
      <c r="J8" s="4" t="s">
        <v>1</v>
      </c>
      <c r="K8" s="5">
        <f>計算データ!N8*10</f>
        <v>100000</v>
      </c>
      <c r="N8" s="291" t="s">
        <v>136</v>
      </c>
    </row>
    <row r="9" spans="1:19" ht="17.25" customHeight="1">
      <c r="E9" s="6" t="s">
        <v>2</v>
      </c>
      <c r="F9" s="290"/>
      <c r="G9" s="7"/>
      <c r="H9" s="7"/>
      <c r="I9" s="7"/>
      <c r="J9" s="7"/>
      <c r="K9" s="7"/>
      <c r="M9" s="288"/>
      <c r="N9" s="293" t="s">
        <v>139</v>
      </c>
      <c r="O9" s="292"/>
      <c r="P9" s="292"/>
      <c r="Q9" s="292"/>
      <c r="R9" s="288"/>
      <c r="S9" s="288"/>
    </row>
    <row r="10" spans="1:19" ht="17.25" customHeight="1" thickBot="1">
      <c r="B10" s="8">
        <v>1</v>
      </c>
      <c r="C10" s="8" t="b">
        <v>0</v>
      </c>
      <c r="E10" s="9">
        <f>SUM(F9:K10)+SUMIF($F$11:$K$11,E11,F13:K13)+M15*O15</f>
        <v>0</v>
      </c>
      <c r="F10" s="290"/>
      <c r="G10" s="7"/>
      <c r="H10" s="7"/>
      <c r="I10" s="7"/>
      <c r="J10" s="7"/>
      <c r="K10" s="7"/>
      <c r="N10" s="292"/>
      <c r="O10" s="292"/>
      <c r="P10" s="292"/>
      <c r="Q10" s="292"/>
    </row>
    <row r="11" spans="1:19" ht="6" customHeight="1">
      <c r="E11" s="10">
        <v>1</v>
      </c>
      <c r="F11" s="8">
        <v>1</v>
      </c>
      <c r="G11" s="8">
        <v>6</v>
      </c>
      <c r="H11" s="8">
        <v>5</v>
      </c>
      <c r="I11" s="8">
        <v>4</v>
      </c>
      <c r="J11" s="8">
        <v>3</v>
      </c>
      <c r="K11" s="8">
        <v>2</v>
      </c>
      <c r="N11" s="292"/>
      <c r="O11" s="292"/>
      <c r="P11" s="292"/>
      <c r="Q11" s="292"/>
    </row>
    <row r="12" spans="1:19" ht="19.5" customHeight="1">
      <c r="E12" s="11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2" t="s">
        <v>8</v>
      </c>
      <c r="K12" s="12" t="s">
        <v>9</v>
      </c>
      <c r="N12" s="292"/>
      <c r="O12" s="292"/>
      <c r="P12" s="292"/>
      <c r="Q12" s="292"/>
    </row>
    <row r="13" spans="1:19" ht="6" customHeight="1" thickBot="1">
      <c r="F13" s="8">
        <v>0</v>
      </c>
      <c r="G13" s="8">
        <v>20.13</v>
      </c>
      <c r="H13" s="8">
        <v>9</v>
      </c>
      <c r="I13" s="8">
        <v>4</v>
      </c>
      <c r="J13" s="8">
        <v>2</v>
      </c>
      <c r="K13" s="8">
        <v>1</v>
      </c>
      <c r="N13" s="292"/>
      <c r="O13" s="292"/>
      <c r="P13" s="292"/>
      <c r="Q13" s="292"/>
    </row>
    <row r="14" spans="1:19" ht="17.25" customHeight="1">
      <c r="E14" s="11" t="s">
        <v>10</v>
      </c>
      <c r="F14" s="13">
        <v>0</v>
      </c>
      <c r="G14" s="14" t="s">
        <v>138</v>
      </c>
      <c r="H14" s="15"/>
      <c r="I14" s="16" t="s">
        <v>11</v>
      </c>
      <c r="J14" s="17" t="s">
        <v>12</v>
      </c>
      <c r="K14" s="18" t="s">
        <v>13</v>
      </c>
      <c r="N14" s="292"/>
      <c r="O14" s="292"/>
      <c r="P14" s="292"/>
      <c r="Q14" s="292"/>
    </row>
    <row r="15" spans="1:19" ht="17.25" customHeight="1" thickBot="1">
      <c r="E15" s="11" t="s">
        <v>14</v>
      </c>
      <c r="F15" s="19"/>
      <c r="G15" s="20"/>
      <c r="H15" s="15"/>
      <c r="I15" s="21" t="s">
        <v>15</v>
      </c>
      <c r="J15" s="22">
        <v>1</v>
      </c>
      <c r="K15" s="23">
        <v>0</v>
      </c>
      <c r="M15" s="2" t="b">
        <v>0</v>
      </c>
      <c r="O15" s="24">
        <f>SUMIF($M$18:$M$34,TRUE,$O$18:$O$34)</f>
        <v>13.55</v>
      </c>
      <c r="Q15" s="25" t="s">
        <v>137</v>
      </c>
    </row>
    <row r="16" spans="1:19" ht="6" customHeight="1" thickBot="1">
      <c r="A16" s="26"/>
      <c r="E16" s="3"/>
      <c r="O16" s="24"/>
    </row>
    <row r="17" spans="2:17" ht="16.5" thickBot="1">
      <c r="B17" s="27" t="s">
        <v>16</v>
      </c>
      <c r="D17" s="28" t="s">
        <v>17</v>
      </c>
      <c r="E17" s="29" t="s">
        <v>18</v>
      </c>
      <c r="F17" s="29" t="s">
        <v>19</v>
      </c>
      <c r="G17" s="29" t="s">
        <v>20</v>
      </c>
      <c r="H17" s="29" t="s">
        <v>21</v>
      </c>
      <c r="I17" s="29" t="s">
        <v>22</v>
      </c>
      <c r="J17" s="30" t="s">
        <v>23</v>
      </c>
      <c r="K17" s="31" t="s">
        <v>24</v>
      </c>
      <c r="M17" s="32"/>
      <c r="N17" s="32" t="s">
        <v>25</v>
      </c>
      <c r="O17" s="33" t="s">
        <v>26</v>
      </c>
      <c r="P17" s="33" t="s">
        <v>27</v>
      </c>
      <c r="Q17" s="33"/>
    </row>
    <row r="18" spans="2:17" ht="16.5" customHeight="1" thickBot="1">
      <c r="B18" s="34"/>
      <c r="C18" s="35"/>
      <c r="D18" s="36" t="s">
        <v>28</v>
      </c>
      <c r="E18" s="36" t="s">
        <v>29</v>
      </c>
      <c r="F18" s="36" t="s">
        <v>30</v>
      </c>
      <c r="G18" s="36" t="s">
        <v>31</v>
      </c>
      <c r="H18" s="36" t="s">
        <v>32</v>
      </c>
      <c r="I18" s="36" t="s">
        <v>33</v>
      </c>
      <c r="J18" s="37" t="s">
        <v>34</v>
      </c>
      <c r="K18" s="38">
        <v>95</v>
      </c>
      <c r="M18" s="39" t="b">
        <v>0</v>
      </c>
      <c r="N18" s="39"/>
      <c r="O18" s="40"/>
      <c r="P18" s="39"/>
      <c r="Q18" s="39"/>
    </row>
    <row r="19" spans="2:17" ht="16.5" customHeight="1" thickTop="1" thickBot="1">
      <c r="B19" s="41" t="s">
        <v>35</v>
      </c>
      <c r="C19" s="42"/>
      <c r="D19" s="43">
        <f ca="1">計算データ!Q32</f>
        <v>790</v>
      </c>
      <c r="E19" s="43">
        <f ca="1">計算データ!R32</f>
        <v>2810</v>
      </c>
      <c r="F19" s="43">
        <f ca="1">計算データ!S32</f>
        <v>6730</v>
      </c>
      <c r="G19" s="43">
        <f ca="1">計算データ!T32</f>
        <v>14130</v>
      </c>
      <c r="H19" s="43">
        <f ca="1">計算データ!U32</f>
        <v>27860</v>
      </c>
      <c r="I19" s="43">
        <f ca="1">計算データ!V32</f>
        <v>69150</v>
      </c>
      <c r="J19" s="44">
        <f ca="1">計算データ!W32</f>
        <v>208930</v>
      </c>
      <c r="K19" s="45">
        <f ca="1">計算データ!X32</f>
        <v>1047770</v>
      </c>
      <c r="M19" s="46" t="b">
        <v>1</v>
      </c>
      <c r="N19" s="46"/>
      <c r="O19" s="47">
        <v>0.99</v>
      </c>
      <c r="P19" s="46" t="s">
        <v>36</v>
      </c>
      <c r="Q19" s="46"/>
    </row>
    <row r="20" spans="2:17" ht="16.5" customHeight="1">
      <c r="B20" s="48" t="s">
        <v>37</v>
      </c>
      <c r="C20" s="49">
        <v>10</v>
      </c>
      <c r="D20" s="50">
        <f ca="1">計算データ!AP28</f>
        <v>4</v>
      </c>
      <c r="E20" s="50">
        <f ca="1">計算データ!AQ28</f>
        <v>1</v>
      </c>
      <c r="F20" s="50">
        <f ca="1">計算データ!AR28</f>
        <v>3</v>
      </c>
      <c r="G20" s="50">
        <f ca="1">計算データ!AS28</f>
        <v>3</v>
      </c>
      <c r="H20" s="50">
        <f ca="1">計算データ!AT28</f>
        <v>1</v>
      </c>
      <c r="I20" s="50">
        <f ca="1">計算データ!AU28</f>
        <v>0</v>
      </c>
      <c r="J20" s="51">
        <f ca="1">計算データ!AV28</f>
        <v>3</v>
      </c>
      <c r="K20" s="52">
        <f ca="1">計算データ!AW28</f>
        <v>2</v>
      </c>
      <c r="L20" s="25"/>
      <c r="M20" s="46" t="b">
        <v>1</v>
      </c>
      <c r="N20" s="46"/>
      <c r="O20" s="47">
        <v>2.5</v>
      </c>
      <c r="P20" s="46" t="s">
        <v>38</v>
      </c>
      <c r="Q20" s="46"/>
    </row>
    <row r="21" spans="2:17" ht="16.5" customHeight="1">
      <c r="B21" s="53"/>
      <c r="C21" s="54">
        <v>50</v>
      </c>
      <c r="D21" s="55">
        <f ca="1">計算データ!AP29</f>
        <v>1</v>
      </c>
      <c r="E21" s="55">
        <f ca="1">計算データ!AQ29</f>
        <v>0</v>
      </c>
      <c r="F21" s="55">
        <f ca="1">計算データ!AR29</f>
        <v>0</v>
      </c>
      <c r="G21" s="55">
        <f ca="1">計算データ!AS29</f>
        <v>0</v>
      </c>
      <c r="H21" s="55">
        <f ca="1">計算データ!AT29</f>
        <v>1</v>
      </c>
      <c r="I21" s="55">
        <f ca="1">計算データ!AU29</f>
        <v>1</v>
      </c>
      <c r="J21" s="56">
        <f ca="1">計算データ!AV29</f>
        <v>0</v>
      </c>
      <c r="K21" s="57">
        <f ca="1">計算データ!AW29</f>
        <v>1</v>
      </c>
      <c r="L21" s="25"/>
      <c r="M21" s="46" t="b">
        <v>1</v>
      </c>
      <c r="N21" s="46"/>
      <c r="O21" s="47">
        <v>1.1100000000000001</v>
      </c>
      <c r="P21" s="46" t="s">
        <v>39</v>
      </c>
      <c r="Q21" s="46"/>
    </row>
    <row r="22" spans="2:17" ht="16.5" customHeight="1">
      <c r="B22" s="53"/>
      <c r="C22" s="58">
        <v>100</v>
      </c>
      <c r="D22" s="59">
        <f ca="1">計算データ!AP30</f>
        <v>2</v>
      </c>
      <c r="E22" s="59">
        <f ca="1">計算データ!AQ30</f>
        <v>3</v>
      </c>
      <c r="F22" s="59">
        <f ca="1">計算データ!AR30</f>
        <v>2</v>
      </c>
      <c r="G22" s="59">
        <f ca="1">計算データ!AS30</f>
        <v>1</v>
      </c>
      <c r="H22" s="59">
        <f ca="1">計算データ!AT30</f>
        <v>3</v>
      </c>
      <c r="I22" s="59">
        <f ca="1">計算データ!AU30</f>
        <v>1</v>
      </c>
      <c r="J22" s="60">
        <f ca="1">計算データ!AV30</f>
        <v>4</v>
      </c>
      <c r="K22" s="61">
        <f ca="1">計算データ!AW30</f>
        <v>2</v>
      </c>
      <c r="L22" s="25"/>
      <c r="M22" s="46" t="b">
        <v>1</v>
      </c>
      <c r="N22" s="46"/>
      <c r="O22" s="47">
        <v>1.55</v>
      </c>
      <c r="P22" s="46" t="s">
        <v>40</v>
      </c>
      <c r="Q22" s="46"/>
    </row>
    <row r="23" spans="2:17" ht="16.5" customHeight="1">
      <c r="B23" s="53"/>
      <c r="C23" s="54">
        <v>500</v>
      </c>
      <c r="D23" s="55">
        <f ca="1">計算データ!AP31</f>
        <v>1</v>
      </c>
      <c r="E23" s="55">
        <f ca="1">計算データ!AQ31</f>
        <v>1</v>
      </c>
      <c r="F23" s="55">
        <f ca="1">計算データ!AR31</f>
        <v>1</v>
      </c>
      <c r="G23" s="55">
        <f ca="1">計算データ!AS31</f>
        <v>0</v>
      </c>
      <c r="H23" s="55">
        <f ca="1">計算データ!AT31</f>
        <v>1</v>
      </c>
      <c r="I23" s="55">
        <f ca="1">計算データ!AU31</f>
        <v>0</v>
      </c>
      <c r="J23" s="56">
        <f ca="1">計算データ!AV31</f>
        <v>1</v>
      </c>
      <c r="K23" s="57">
        <f ca="1">計算データ!AW31</f>
        <v>1</v>
      </c>
      <c r="L23" s="25"/>
      <c r="M23" s="46" t="b">
        <v>0</v>
      </c>
      <c r="N23" s="46"/>
      <c r="O23" s="47"/>
      <c r="P23" s="46"/>
      <c r="Q23" s="46"/>
    </row>
    <row r="24" spans="2:17" ht="16.5" customHeight="1" thickBot="1">
      <c r="B24" s="62"/>
      <c r="C24" s="63">
        <v>1000</v>
      </c>
      <c r="D24" s="64">
        <f ca="1">計算データ!AP32</f>
        <v>0</v>
      </c>
      <c r="E24" s="64">
        <f ca="1">計算データ!AQ32</f>
        <v>2</v>
      </c>
      <c r="F24" s="64">
        <f ca="1">計算データ!AR32</f>
        <v>6</v>
      </c>
      <c r="G24" s="64">
        <f ca="1">計算データ!AS32</f>
        <v>14</v>
      </c>
      <c r="H24" s="64">
        <f ca="1">計算データ!AT32</f>
        <v>27</v>
      </c>
      <c r="I24" s="64">
        <f ca="1">計算データ!AU32</f>
        <v>69</v>
      </c>
      <c r="J24" s="65">
        <f ca="1">計算データ!AV32</f>
        <v>208</v>
      </c>
      <c r="K24" s="66">
        <f ca="1">計算データ!AW32</f>
        <v>1047</v>
      </c>
      <c r="L24" s="25"/>
      <c r="M24" s="46" t="b">
        <v>0</v>
      </c>
      <c r="N24" s="46"/>
      <c r="O24" s="47"/>
      <c r="P24" s="46"/>
      <c r="Q24" s="46"/>
    </row>
    <row r="25" spans="2:17" ht="16.5" customHeight="1" thickBot="1">
      <c r="B25" s="67" t="s">
        <v>41</v>
      </c>
      <c r="C25" s="68"/>
      <c r="D25" s="69">
        <f ca="1">($C20*D20+$C21*D21+$C22*D22+$C23*D23+$C24*D24)-D19</f>
        <v>0</v>
      </c>
      <c r="E25" s="69">
        <f t="shared" ref="E25:K25" ca="1" si="0">($C20*E20+$C21*E21+$C22*E22+$C23*E23+$C24*E24)-E19</f>
        <v>0</v>
      </c>
      <c r="F25" s="69">
        <f t="shared" ca="1" si="0"/>
        <v>0</v>
      </c>
      <c r="G25" s="69">
        <f t="shared" ca="1" si="0"/>
        <v>0</v>
      </c>
      <c r="H25" s="69">
        <f t="shared" ca="1" si="0"/>
        <v>0</v>
      </c>
      <c r="I25" s="69">
        <f t="shared" ca="1" si="0"/>
        <v>0</v>
      </c>
      <c r="J25" s="70">
        <f t="shared" ca="1" si="0"/>
        <v>0</v>
      </c>
      <c r="K25" s="71">
        <f t="shared" ca="1" si="0"/>
        <v>0</v>
      </c>
      <c r="M25" s="46" t="b">
        <v>0</v>
      </c>
      <c r="N25" s="46"/>
      <c r="O25" s="47">
        <v>2</v>
      </c>
      <c r="P25" s="46" t="s">
        <v>42</v>
      </c>
      <c r="Q25" s="46"/>
    </row>
    <row r="26" spans="2:17" ht="16.5" customHeight="1" thickBot="1">
      <c r="B26" s="27" t="s">
        <v>43</v>
      </c>
      <c r="M26" s="46" t="b">
        <v>1</v>
      </c>
      <c r="N26" s="46"/>
      <c r="O26" s="47">
        <v>1.2</v>
      </c>
      <c r="P26" s="46" t="s">
        <v>44</v>
      </c>
      <c r="Q26" s="46"/>
    </row>
    <row r="27" spans="2:17" ht="16.5" customHeight="1" thickBot="1">
      <c r="B27" s="34"/>
      <c r="C27" s="35"/>
      <c r="D27" s="36" t="s">
        <v>28</v>
      </c>
      <c r="E27" s="36" t="s">
        <v>29</v>
      </c>
      <c r="F27" s="36" t="s">
        <v>30</v>
      </c>
      <c r="G27" s="36" t="s">
        <v>31</v>
      </c>
      <c r="H27" s="36" t="s">
        <v>32</v>
      </c>
      <c r="I27" s="36" t="s">
        <v>33</v>
      </c>
      <c r="J27" s="37" t="s">
        <v>34</v>
      </c>
      <c r="K27" s="72">
        <f>K18</f>
        <v>95</v>
      </c>
      <c r="M27" s="46" t="b">
        <v>0</v>
      </c>
      <c r="N27" s="46"/>
      <c r="O27" s="47"/>
      <c r="P27" s="46"/>
      <c r="Q27" s="46"/>
    </row>
    <row r="28" spans="2:17" ht="16.5" customHeight="1" thickTop="1" thickBot="1">
      <c r="B28" s="41" t="s">
        <v>35</v>
      </c>
      <c r="C28" s="42"/>
      <c r="D28" s="43">
        <f ca="1">計算データ!Q49</f>
        <v>790</v>
      </c>
      <c r="E28" s="43">
        <f ca="1">計算データ!R49</f>
        <v>2810</v>
      </c>
      <c r="F28" s="43">
        <f ca="1">計算データ!S49</f>
        <v>6730</v>
      </c>
      <c r="G28" s="43">
        <f ca="1">計算データ!T49</f>
        <v>14130</v>
      </c>
      <c r="H28" s="43">
        <f ca="1">計算データ!U49</f>
        <v>27860</v>
      </c>
      <c r="I28" s="43">
        <f ca="1">計算データ!V49</f>
        <v>69150</v>
      </c>
      <c r="J28" s="44">
        <f ca="1">計算データ!W49</f>
        <v>208930</v>
      </c>
      <c r="K28" s="45">
        <f ca="1">計算データ!X49</f>
        <v>1047770</v>
      </c>
      <c r="L28" s="25"/>
      <c r="M28" s="46" t="b">
        <v>0</v>
      </c>
      <c r="N28" s="46"/>
      <c r="O28" s="47">
        <v>0.6</v>
      </c>
      <c r="P28" s="46" t="s">
        <v>45</v>
      </c>
      <c r="Q28" s="46"/>
    </row>
    <row r="29" spans="2:17" ht="16.5" customHeight="1">
      <c r="B29" s="48" t="s">
        <v>37</v>
      </c>
      <c r="C29" s="49">
        <v>10</v>
      </c>
      <c r="D29" s="50">
        <f ca="1">計算データ!AP45</f>
        <v>4</v>
      </c>
      <c r="E29" s="50">
        <f ca="1">計算データ!AQ45</f>
        <v>1</v>
      </c>
      <c r="F29" s="50">
        <f ca="1">計算データ!AR45</f>
        <v>3</v>
      </c>
      <c r="G29" s="50">
        <f ca="1">計算データ!AS45</f>
        <v>3</v>
      </c>
      <c r="H29" s="50">
        <f ca="1">計算データ!AT45</f>
        <v>1</v>
      </c>
      <c r="I29" s="50">
        <f ca="1">計算データ!AU45</f>
        <v>0</v>
      </c>
      <c r="J29" s="51">
        <f ca="1">計算データ!AV45</f>
        <v>3</v>
      </c>
      <c r="K29" s="52">
        <f ca="1">計算データ!AW45</f>
        <v>2</v>
      </c>
      <c r="L29" s="25"/>
      <c r="M29" s="46" t="b">
        <v>1</v>
      </c>
      <c r="N29" s="46"/>
      <c r="O29" s="47">
        <f>80%*Q29</f>
        <v>3.2</v>
      </c>
      <c r="P29" s="46" t="s">
        <v>46</v>
      </c>
      <c r="Q29" s="46">
        <v>4</v>
      </c>
    </row>
    <row r="30" spans="2:17" ht="16.5" customHeight="1">
      <c r="B30" s="53"/>
      <c r="C30" s="54">
        <v>50</v>
      </c>
      <c r="D30" s="55">
        <f ca="1">計算データ!AP46</f>
        <v>1</v>
      </c>
      <c r="E30" s="55">
        <f ca="1">計算データ!AQ46</f>
        <v>0</v>
      </c>
      <c r="F30" s="55">
        <f ca="1">計算データ!AR46</f>
        <v>0</v>
      </c>
      <c r="G30" s="55">
        <f ca="1">計算データ!AS46</f>
        <v>0</v>
      </c>
      <c r="H30" s="55">
        <f ca="1">計算データ!AT46</f>
        <v>1</v>
      </c>
      <c r="I30" s="55">
        <f ca="1">計算データ!AU46</f>
        <v>1</v>
      </c>
      <c r="J30" s="56">
        <f ca="1">計算データ!AV46</f>
        <v>0</v>
      </c>
      <c r="K30" s="57">
        <f ca="1">計算データ!AW46</f>
        <v>1</v>
      </c>
      <c r="L30" s="25"/>
      <c r="M30" s="46" t="b">
        <v>0</v>
      </c>
      <c r="N30" s="46"/>
      <c r="O30" s="47">
        <v>0.5</v>
      </c>
      <c r="P30" s="46" t="s">
        <v>47</v>
      </c>
      <c r="Q30" s="46"/>
    </row>
    <row r="31" spans="2:17" ht="16.5" customHeight="1">
      <c r="B31" s="53"/>
      <c r="C31" s="58">
        <v>100</v>
      </c>
      <c r="D31" s="59">
        <f ca="1">計算データ!AP47</f>
        <v>2</v>
      </c>
      <c r="E31" s="59">
        <f ca="1">計算データ!AQ47</f>
        <v>3</v>
      </c>
      <c r="F31" s="59">
        <f ca="1">計算データ!AR47</f>
        <v>2</v>
      </c>
      <c r="G31" s="59">
        <f ca="1">計算データ!AS47</f>
        <v>1</v>
      </c>
      <c r="H31" s="59">
        <f ca="1">計算データ!AT47</f>
        <v>3</v>
      </c>
      <c r="I31" s="59">
        <f ca="1">計算データ!AU47</f>
        <v>1</v>
      </c>
      <c r="J31" s="60">
        <f ca="1">計算データ!AV47</f>
        <v>4</v>
      </c>
      <c r="K31" s="61">
        <f ca="1">計算データ!AW47</f>
        <v>2</v>
      </c>
      <c r="L31" s="25"/>
      <c r="M31" s="46" t="b">
        <v>1</v>
      </c>
      <c r="N31" s="46"/>
      <c r="O31" s="47">
        <v>3</v>
      </c>
      <c r="P31" s="46" t="s">
        <v>48</v>
      </c>
      <c r="Q31" s="46"/>
    </row>
    <row r="32" spans="2:17" ht="16.5" customHeight="1">
      <c r="B32" s="53"/>
      <c r="C32" s="54">
        <v>500</v>
      </c>
      <c r="D32" s="55">
        <f ca="1">計算データ!AP48</f>
        <v>1</v>
      </c>
      <c r="E32" s="55">
        <f ca="1">計算データ!AQ48</f>
        <v>1</v>
      </c>
      <c r="F32" s="55">
        <f ca="1">計算データ!AR48</f>
        <v>1</v>
      </c>
      <c r="G32" s="55">
        <f ca="1">計算データ!AS48</f>
        <v>0</v>
      </c>
      <c r="H32" s="55">
        <f ca="1">計算データ!AT48</f>
        <v>1</v>
      </c>
      <c r="I32" s="55">
        <f ca="1">計算データ!AU48</f>
        <v>0</v>
      </c>
      <c r="J32" s="56">
        <f ca="1">計算データ!AV48</f>
        <v>1</v>
      </c>
      <c r="K32" s="57">
        <f ca="1">計算データ!AW48</f>
        <v>1</v>
      </c>
      <c r="L32" s="25"/>
      <c r="M32" s="46" t="b">
        <v>0</v>
      </c>
      <c r="N32" s="46"/>
      <c r="O32" s="47">
        <v>0.7</v>
      </c>
      <c r="P32" s="46" t="s">
        <v>49</v>
      </c>
      <c r="Q32" s="46"/>
    </row>
    <row r="33" spans="2:17" ht="16.5" customHeight="1" thickBot="1">
      <c r="B33" s="62"/>
      <c r="C33" s="63">
        <v>1000</v>
      </c>
      <c r="D33" s="64">
        <f ca="1">計算データ!AP49</f>
        <v>0</v>
      </c>
      <c r="E33" s="64">
        <f ca="1">計算データ!AQ49</f>
        <v>2</v>
      </c>
      <c r="F33" s="64">
        <f ca="1">計算データ!AR49</f>
        <v>6</v>
      </c>
      <c r="G33" s="64">
        <f ca="1">計算データ!AS49</f>
        <v>14</v>
      </c>
      <c r="H33" s="64">
        <f ca="1">計算データ!AT49</f>
        <v>27</v>
      </c>
      <c r="I33" s="64">
        <f ca="1">計算データ!AU49</f>
        <v>69</v>
      </c>
      <c r="J33" s="65">
        <f ca="1">計算データ!AV49</f>
        <v>208</v>
      </c>
      <c r="K33" s="66">
        <f ca="1">計算データ!AW49</f>
        <v>1047</v>
      </c>
      <c r="M33" s="46" t="b">
        <v>0</v>
      </c>
      <c r="N33" s="46"/>
      <c r="O33" s="47"/>
      <c r="P33" s="46"/>
      <c r="Q33" s="46"/>
    </row>
    <row r="34" spans="2:17" ht="16.5" customHeight="1" thickBot="1">
      <c r="B34" s="67" t="s">
        <v>41</v>
      </c>
      <c r="C34" s="68"/>
      <c r="D34" s="69">
        <f ca="1">($C29*D29+$C30*D30+$C31*D31+$C32*D32+$C33*D33)-D28</f>
        <v>0</v>
      </c>
      <c r="E34" s="69">
        <f t="shared" ref="E34:K34" ca="1" si="1">($C29*E29+$C30*E30+$C31*E31+$C32*E32+$C33*E33)-E28</f>
        <v>0</v>
      </c>
      <c r="F34" s="69">
        <f t="shared" ca="1" si="1"/>
        <v>0</v>
      </c>
      <c r="G34" s="69">
        <f t="shared" ca="1" si="1"/>
        <v>0</v>
      </c>
      <c r="H34" s="69">
        <f t="shared" ca="1" si="1"/>
        <v>0</v>
      </c>
      <c r="I34" s="69">
        <f t="shared" ca="1" si="1"/>
        <v>0</v>
      </c>
      <c r="J34" s="70">
        <f t="shared" ca="1" si="1"/>
        <v>0</v>
      </c>
      <c r="K34" s="71">
        <f t="shared" ca="1" si="1"/>
        <v>0</v>
      </c>
      <c r="M34" s="46" t="b">
        <v>0</v>
      </c>
      <c r="N34" s="46"/>
      <c r="O34" s="47"/>
      <c r="P34" s="46"/>
      <c r="Q34" s="46"/>
    </row>
    <row r="39" spans="2:17">
      <c r="K39" s="73"/>
    </row>
    <row r="40" spans="2:17">
      <c r="K40" s="73"/>
    </row>
    <row r="41" spans="2:17">
      <c r="K41" s="73"/>
    </row>
    <row r="42" spans="2:17">
      <c r="K42" s="73"/>
    </row>
    <row r="43" spans="2:17">
      <c r="K43" s="73"/>
    </row>
    <row r="44" spans="2:17">
      <c r="K44" s="73"/>
    </row>
    <row r="45" spans="2:17">
      <c r="K45" s="73"/>
    </row>
    <row r="46" spans="2:17">
      <c r="K46" s="73"/>
    </row>
  </sheetData>
  <mergeCells count="4">
    <mergeCell ref="G14:H15"/>
    <mergeCell ref="B20:B24"/>
    <mergeCell ref="B29:B33"/>
    <mergeCell ref="N9:Q14"/>
  </mergeCells>
  <phoneticPr fontId="5"/>
  <conditionalFormatting sqref="D19:K25 D28:K34">
    <cfRule type="cellIs" dxfId="4" priority="5" operator="greaterThan">
      <formula>0</formula>
    </cfRule>
  </conditionalFormatting>
  <conditionalFormatting sqref="C20:K20 C29:K29">
    <cfRule type="expression" dxfId="3" priority="4">
      <formula>$B$10&gt;=2</formula>
    </cfRule>
  </conditionalFormatting>
  <conditionalFormatting sqref="C21:K21 C30:K30">
    <cfRule type="expression" dxfId="2" priority="3">
      <formula>$B$10&gt;=3</formula>
    </cfRule>
  </conditionalFormatting>
  <conditionalFormatting sqref="C22:K22 C31:K31">
    <cfRule type="expression" dxfId="1" priority="2">
      <formula>$B$10&gt;=4</formula>
    </cfRule>
  </conditionalFormatting>
  <conditionalFormatting sqref="C23:K23 C32:K32">
    <cfRule type="expression" dxfId="0" priority="1">
      <formula>$B$10&gt;=5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W115"/>
  <sheetViews>
    <sheetView showGridLines="0" workbookViewId="0">
      <selection activeCell="J4" sqref="J4"/>
    </sheetView>
  </sheetViews>
  <sheetFormatPr defaultRowHeight="12"/>
  <cols>
    <col min="1" max="1" width="4.7109375" customWidth="1"/>
    <col min="2" max="3" width="5.7109375" customWidth="1"/>
    <col min="4" max="5" width="12.7109375" style="74" customWidth="1"/>
    <col min="6" max="6" width="4.7109375" customWidth="1"/>
    <col min="7" max="8" width="5.7109375" customWidth="1"/>
    <col min="9" max="9" width="12.7109375" customWidth="1"/>
    <col min="10" max="15" width="8.7109375" customWidth="1"/>
    <col min="16" max="16" width="7.7109375" customWidth="1"/>
    <col min="17" max="24" width="5.7109375" customWidth="1"/>
    <col min="25" max="25" width="3.85546875" customWidth="1"/>
    <col min="26" max="26" width="5.7109375" customWidth="1"/>
    <col min="27" max="27" width="4.7109375" customWidth="1"/>
    <col min="28" max="28" width="3.7109375" customWidth="1"/>
    <col min="29" max="29" width="7.7109375" customWidth="1"/>
    <col min="30" max="37" width="5.85546875" customWidth="1"/>
    <col min="38" max="38" width="3.7109375" customWidth="1"/>
    <col min="39" max="39" width="7.5703125" customWidth="1"/>
    <col min="40" max="40" width="3.7109375" customWidth="1"/>
    <col min="41" max="41" width="7.7109375" customWidth="1"/>
    <col min="42" max="49" width="5.7109375" customWidth="1"/>
  </cols>
  <sheetData>
    <row r="2" spans="1:14" ht="12.75" thickBot="1">
      <c r="B2" t="s">
        <v>50</v>
      </c>
      <c r="G2" s="75"/>
      <c r="H2" t="s">
        <v>51</v>
      </c>
      <c r="J2" s="76"/>
      <c r="K2" s="75"/>
      <c r="L2" t="s">
        <v>52</v>
      </c>
      <c r="N2" s="76"/>
    </row>
    <row r="3" spans="1:14" ht="12.75" thickBot="1">
      <c r="B3" s="77" t="s">
        <v>53</v>
      </c>
      <c r="C3" s="77" t="s">
        <v>54</v>
      </c>
      <c r="D3" s="78" t="s">
        <v>55</v>
      </c>
      <c r="E3" s="79"/>
      <c r="F3" s="76"/>
      <c r="G3" s="76"/>
      <c r="H3" s="80" t="s">
        <v>56</v>
      </c>
      <c r="I3" s="80"/>
      <c r="J3" s="81">
        <f>魔力の結晶計算機!E10</f>
        <v>0</v>
      </c>
      <c r="K3" s="76"/>
      <c r="L3" s="82" t="s">
        <v>57</v>
      </c>
      <c r="M3" s="80"/>
      <c r="N3" s="82">
        <v>10000</v>
      </c>
    </row>
    <row r="4" spans="1:14">
      <c r="B4" s="83"/>
      <c r="C4" s="83"/>
      <c r="D4" s="84" t="s">
        <v>58</v>
      </c>
      <c r="E4" s="85" t="s">
        <v>59</v>
      </c>
      <c r="H4" s="80" t="s">
        <v>60</v>
      </c>
      <c r="I4" s="80"/>
      <c r="J4" s="86">
        <f>魔力の結晶計算機!F14</f>
        <v>0</v>
      </c>
      <c r="L4" s="80" t="s">
        <v>61</v>
      </c>
      <c r="M4" s="80"/>
      <c r="N4" s="87">
        <f>J3+1</f>
        <v>1</v>
      </c>
    </row>
    <row r="5" spans="1:14">
      <c r="B5" s="88"/>
      <c r="C5" s="89">
        <v>1</v>
      </c>
      <c r="D5" s="90"/>
      <c r="E5" s="90">
        <f t="shared" ref="E5:E68" si="0">D6-D5</f>
        <v>40</v>
      </c>
      <c r="H5" s="80" t="s">
        <v>62</v>
      </c>
      <c r="I5" s="80"/>
      <c r="J5" s="86">
        <f>魔力の結晶計算機!F15</f>
        <v>0</v>
      </c>
      <c r="L5" s="80" t="s">
        <v>63</v>
      </c>
      <c r="M5" s="80"/>
      <c r="N5" s="87">
        <f>J4+1</f>
        <v>1</v>
      </c>
    </row>
    <row r="6" spans="1:14">
      <c r="B6" s="91"/>
      <c r="C6" s="92">
        <v>2</v>
      </c>
      <c r="D6" s="93">
        <v>40</v>
      </c>
      <c r="E6" s="93">
        <f t="shared" si="0"/>
        <v>180</v>
      </c>
      <c r="H6" s="80" t="s">
        <v>64</v>
      </c>
      <c r="I6" s="80"/>
      <c r="J6" s="82">
        <f>魔力の結晶計算機!J15</f>
        <v>1</v>
      </c>
      <c r="L6" s="80" t="s">
        <v>65</v>
      </c>
      <c r="M6" s="80"/>
      <c r="N6" s="87">
        <f>J5+1</f>
        <v>1</v>
      </c>
    </row>
    <row r="7" spans="1:14">
      <c r="A7" s="94"/>
      <c r="B7" s="91"/>
      <c r="C7" s="92">
        <v>3</v>
      </c>
      <c r="D7" s="93">
        <v>220</v>
      </c>
      <c r="E7" s="93">
        <f t="shared" si="0"/>
        <v>480</v>
      </c>
      <c r="H7" s="80" t="s">
        <v>66</v>
      </c>
      <c r="I7" s="80"/>
      <c r="J7" s="95">
        <f>魔力の結晶計算機!K15/100</f>
        <v>0</v>
      </c>
      <c r="L7" s="80" t="s">
        <v>129</v>
      </c>
      <c r="M7" s="80"/>
      <c r="N7" s="289">
        <f>N4*N5*N6</f>
        <v>1</v>
      </c>
    </row>
    <row r="8" spans="1:14">
      <c r="A8" s="94"/>
      <c r="B8" s="91"/>
      <c r="C8" s="92">
        <v>4</v>
      </c>
      <c r="D8" s="93">
        <v>700</v>
      </c>
      <c r="E8" s="93">
        <f t="shared" si="0"/>
        <v>1100</v>
      </c>
      <c r="H8" s="80" t="s">
        <v>68</v>
      </c>
      <c r="I8" s="80"/>
      <c r="J8" s="82">
        <f>魔力の結晶計算機!K18</f>
        <v>95</v>
      </c>
      <c r="L8" s="82" t="s">
        <v>67</v>
      </c>
      <c r="M8" s="80"/>
      <c r="N8" s="82">
        <f>N3*N4*N5*N6</f>
        <v>10000</v>
      </c>
    </row>
    <row r="9" spans="1:14">
      <c r="A9" s="94"/>
      <c r="B9" s="91"/>
      <c r="C9" s="92">
        <v>5</v>
      </c>
      <c r="D9" s="93">
        <v>1800</v>
      </c>
      <c r="E9" s="93">
        <f t="shared" si="0"/>
        <v>2400</v>
      </c>
      <c r="H9" s="80" t="s">
        <v>69</v>
      </c>
      <c r="I9" s="80"/>
      <c r="J9" s="82">
        <f>魔力の結晶計算機!B10</f>
        <v>1</v>
      </c>
    </row>
    <row r="10" spans="1:14">
      <c r="A10" s="94"/>
      <c r="B10" s="91"/>
      <c r="C10" s="92">
        <v>6</v>
      </c>
      <c r="D10" s="93">
        <v>4200</v>
      </c>
      <c r="E10" s="93">
        <f t="shared" si="0"/>
        <v>4120</v>
      </c>
      <c r="H10" s="80" t="s">
        <v>70</v>
      </c>
      <c r="I10" s="80"/>
      <c r="J10" s="82" t="b">
        <f>魔力の結晶計算機!C10</f>
        <v>0</v>
      </c>
    </row>
    <row r="11" spans="1:14">
      <c r="A11" s="94"/>
      <c r="B11" s="91"/>
      <c r="C11" s="92">
        <v>7</v>
      </c>
      <c r="D11" s="93">
        <v>8320</v>
      </c>
      <c r="E11" s="93">
        <f t="shared" si="0"/>
        <v>6220</v>
      </c>
      <c r="J11" s="76"/>
    </row>
    <row r="12" spans="1:14">
      <c r="A12" s="94"/>
      <c r="B12" s="91"/>
      <c r="C12" s="92">
        <v>8</v>
      </c>
      <c r="D12" s="93">
        <v>14540</v>
      </c>
      <c r="E12" s="93">
        <f t="shared" si="0"/>
        <v>9850</v>
      </c>
      <c r="H12" t="s">
        <v>71</v>
      </c>
      <c r="J12" s="76"/>
    </row>
    <row r="13" spans="1:14">
      <c r="A13" s="94"/>
      <c r="B13" s="91"/>
      <c r="C13" s="92">
        <v>9</v>
      </c>
      <c r="D13" s="93">
        <v>24390</v>
      </c>
      <c r="E13" s="93">
        <f t="shared" si="0"/>
        <v>14690</v>
      </c>
      <c r="H13" s="96" t="s">
        <v>72</v>
      </c>
      <c r="I13" s="97">
        <f>SUMIF($C$6:$C$104,J6,$D$6:$D$104)</f>
        <v>0</v>
      </c>
      <c r="J13" s="98" t="str">
        <f>"@"&amp;J6</f>
        <v>@1</v>
      </c>
    </row>
    <row r="14" spans="1:14">
      <c r="A14" s="94"/>
      <c r="B14" s="91"/>
      <c r="C14" s="92">
        <v>10</v>
      </c>
      <c r="D14" s="93">
        <v>39080</v>
      </c>
      <c r="E14" s="93">
        <f t="shared" si="0"/>
        <v>20080</v>
      </c>
      <c r="H14" s="99" t="s">
        <v>73</v>
      </c>
      <c r="I14" s="100">
        <f>ROUND(SUMIF($C$6:$C$104,J6,$E$6:$E$104)*J7,1)</f>
        <v>0</v>
      </c>
      <c r="J14" s="101" t="str">
        <f>"@"&amp;J7</f>
        <v>@0</v>
      </c>
    </row>
    <row r="15" spans="1:14">
      <c r="A15" s="94"/>
      <c r="B15" s="91"/>
      <c r="C15" s="92">
        <v>11</v>
      </c>
      <c r="D15" s="93">
        <v>59160</v>
      </c>
      <c r="E15" s="93">
        <f t="shared" si="0"/>
        <v>25580</v>
      </c>
      <c r="H15" s="102" t="s">
        <v>74</v>
      </c>
      <c r="I15" s="103">
        <f>SUM(I13:I14)</f>
        <v>0</v>
      </c>
      <c r="J15" s="103"/>
    </row>
    <row r="16" spans="1:14">
      <c r="A16" s="94"/>
      <c r="B16" s="91"/>
      <c r="C16" s="92">
        <v>12</v>
      </c>
      <c r="D16" s="93">
        <v>84740</v>
      </c>
      <c r="E16" s="93">
        <f t="shared" si="0"/>
        <v>33180</v>
      </c>
    </row>
    <row r="17" spans="1:49">
      <c r="B17" s="91"/>
      <c r="C17" s="92">
        <v>13</v>
      </c>
      <c r="D17" s="93">
        <v>117920</v>
      </c>
      <c r="E17" s="93">
        <f t="shared" si="0"/>
        <v>41830</v>
      </c>
    </row>
    <row r="18" spans="1:49">
      <c r="B18" s="91"/>
      <c r="C18" s="92">
        <v>14</v>
      </c>
      <c r="D18" s="93">
        <v>159750</v>
      </c>
      <c r="E18" s="93">
        <f t="shared" si="0"/>
        <v>50750</v>
      </c>
      <c r="G18" s="104" t="s">
        <v>75</v>
      </c>
      <c r="O18" s="104" t="s">
        <v>75</v>
      </c>
      <c r="Q18">
        <v>1</v>
      </c>
      <c r="R18">
        <v>2</v>
      </c>
      <c r="S18">
        <v>3</v>
      </c>
      <c r="T18">
        <v>4</v>
      </c>
      <c r="U18">
        <v>5</v>
      </c>
      <c r="V18">
        <v>6</v>
      </c>
      <c r="W18">
        <v>7</v>
      </c>
      <c r="X18">
        <v>8</v>
      </c>
    </row>
    <row r="19" spans="1:49" ht="12.75" thickBot="1">
      <c r="A19" s="94"/>
      <c r="B19" s="91"/>
      <c r="C19" s="92">
        <v>15</v>
      </c>
      <c r="D19" s="93">
        <v>210500</v>
      </c>
      <c r="E19" s="93">
        <f t="shared" si="0"/>
        <v>63040</v>
      </c>
      <c r="G19" s="105"/>
      <c r="H19" s="106"/>
      <c r="I19" s="107" t="s">
        <v>76</v>
      </c>
      <c r="J19" s="108" t="s">
        <v>77</v>
      </c>
      <c r="K19" s="109"/>
      <c r="L19" s="110"/>
      <c r="M19" s="111"/>
      <c r="O19" s="105"/>
      <c r="P19" s="112" t="s">
        <v>78</v>
      </c>
      <c r="Q19" s="113" t="s">
        <v>79</v>
      </c>
      <c r="R19" s="113" t="s">
        <v>80</v>
      </c>
      <c r="S19" s="113" t="s">
        <v>81</v>
      </c>
      <c r="T19" s="113" t="s">
        <v>82</v>
      </c>
      <c r="U19" s="113" t="s">
        <v>83</v>
      </c>
      <c r="V19" s="113" t="s">
        <v>84</v>
      </c>
      <c r="W19" s="113" t="s">
        <v>85</v>
      </c>
      <c r="X19" s="113" t="s">
        <v>86</v>
      </c>
      <c r="Z19" s="114"/>
      <c r="AA19" s="102"/>
      <c r="AB19" s="115"/>
      <c r="AC19" s="112" t="s">
        <v>87</v>
      </c>
      <c r="AD19" s="113" t="s">
        <v>88</v>
      </c>
      <c r="AE19" s="113" t="s">
        <v>89</v>
      </c>
      <c r="AF19" s="113" t="s">
        <v>81</v>
      </c>
      <c r="AG19" s="113" t="s">
        <v>82</v>
      </c>
      <c r="AH19" s="113" t="s">
        <v>83</v>
      </c>
      <c r="AI19" s="113" t="s">
        <v>84</v>
      </c>
      <c r="AJ19" s="113" t="s">
        <v>85</v>
      </c>
      <c r="AK19" s="113" t="s">
        <v>90</v>
      </c>
      <c r="AM19" s="114"/>
      <c r="AN19" s="115"/>
      <c r="AO19" s="112" t="s">
        <v>87</v>
      </c>
      <c r="AP19" s="113" t="s">
        <v>91</v>
      </c>
      <c r="AQ19" s="113" t="s">
        <v>92</v>
      </c>
      <c r="AR19" s="113" t="s">
        <v>81</v>
      </c>
      <c r="AS19" s="113" t="s">
        <v>82</v>
      </c>
      <c r="AT19" s="113" t="s">
        <v>83</v>
      </c>
      <c r="AU19" s="113" t="s">
        <v>84</v>
      </c>
      <c r="AV19" s="113" t="s">
        <v>85</v>
      </c>
      <c r="AW19" s="113" t="s">
        <v>93</v>
      </c>
    </row>
    <row r="20" spans="1:49">
      <c r="A20" s="94"/>
      <c r="B20" s="91"/>
      <c r="C20" s="92">
        <v>16</v>
      </c>
      <c r="D20" s="93">
        <v>273540</v>
      </c>
      <c r="E20" s="93">
        <f t="shared" si="0"/>
        <v>79130</v>
      </c>
      <c r="G20" s="116" t="s">
        <v>53</v>
      </c>
      <c r="H20" s="116" t="s">
        <v>94</v>
      </c>
      <c r="I20" s="117" t="s">
        <v>95</v>
      </c>
      <c r="J20" s="118"/>
      <c r="K20" s="119" t="s">
        <v>96</v>
      </c>
      <c r="L20" s="120" t="s">
        <v>97</v>
      </c>
      <c r="M20" s="121" t="s">
        <v>98</v>
      </c>
      <c r="O20" s="122"/>
      <c r="P20" s="123" t="s">
        <v>99</v>
      </c>
      <c r="Q20" s="123" t="s">
        <v>100</v>
      </c>
      <c r="R20" s="123" t="s">
        <v>101</v>
      </c>
      <c r="S20" s="123" t="s">
        <v>102</v>
      </c>
      <c r="T20" s="123" t="s">
        <v>103</v>
      </c>
      <c r="U20" s="123" t="s">
        <v>104</v>
      </c>
      <c r="V20" s="123" t="s">
        <v>105</v>
      </c>
      <c r="W20" s="123" t="s">
        <v>106</v>
      </c>
      <c r="X20" s="123" t="s">
        <v>107</v>
      </c>
      <c r="Z20" s="124"/>
      <c r="AA20" s="125"/>
      <c r="AB20" s="126"/>
      <c r="AC20" s="123" t="s">
        <v>99</v>
      </c>
      <c r="AD20" s="123" t="s">
        <v>100</v>
      </c>
      <c r="AE20" s="123" t="s">
        <v>101</v>
      </c>
      <c r="AF20" s="123" t="s">
        <v>102</v>
      </c>
      <c r="AG20" s="123" t="s">
        <v>103</v>
      </c>
      <c r="AH20" s="123" t="s">
        <v>104</v>
      </c>
      <c r="AI20" s="123" t="s">
        <v>105</v>
      </c>
      <c r="AJ20" s="123" t="s">
        <v>106</v>
      </c>
      <c r="AK20" s="123" t="s">
        <v>107</v>
      </c>
      <c r="AM20" s="124"/>
      <c r="AN20" s="126"/>
      <c r="AO20" s="123" t="s">
        <v>99</v>
      </c>
      <c r="AP20" s="123" t="s">
        <v>100</v>
      </c>
      <c r="AQ20" s="123" t="s">
        <v>101</v>
      </c>
      <c r="AR20" s="123" t="s">
        <v>102</v>
      </c>
      <c r="AS20" s="123" t="s">
        <v>103</v>
      </c>
      <c r="AT20" s="123" t="s">
        <v>104</v>
      </c>
      <c r="AU20" s="123" t="s">
        <v>105</v>
      </c>
      <c r="AV20" s="123" t="s">
        <v>106</v>
      </c>
      <c r="AW20" s="123" t="s">
        <v>107</v>
      </c>
    </row>
    <row r="21" spans="1:49">
      <c r="A21" s="94"/>
      <c r="B21" s="91"/>
      <c r="C21" s="92">
        <v>17</v>
      </c>
      <c r="D21" s="93">
        <v>352670</v>
      </c>
      <c r="E21" s="93">
        <f t="shared" si="0"/>
        <v>99520</v>
      </c>
      <c r="G21" s="127">
        <v>2</v>
      </c>
      <c r="H21" s="127">
        <v>30</v>
      </c>
      <c r="I21" s="128">
        <f t="shared" ref="I21:I28" si="1">IF(I38&gt;$I$15,I38-$I$15,0)</f>
        <v>7816690</v>
      </c>
      <c r="J21" s="129">
        <f>I21/$N$8</f>
        <v>781.66899999999998</v>
      </c>
      <c r="K21" s="130">
        <f t="shared" ref="K21:K28" si="2">ROUNDUP(J21,0)</f>
        <v>782</v>
      </c>
      <c r="L21" s="131">
        <f t="shared" ref="L21:L28" si="3">ROUNDUP(J21,-1)</f>
        <v>790</v>
      </c>
      <c r="M21" s="132">
        <f t="shared" ref="M21:M28" si="4">IF($J$10,K21,L21)</f>
        <v>790</v>
      </c>
      <c r="N21">
        <f>IF($AM$34&gt;=1,1,0)</f>
        <v>0</v>
      </c>
      <c r="O21" s="106" t="s">
        <v>108</v>
      </c>
      <c r="P21" s="133">
        <v>10</v>
      </c>
      <c r="Q21" s="134">
        <f t="shared" ref="Q21:X25" ca="1" si="5">INT(Q27/$P21)</f>
        <v>4</v>
      </c>
      <c r="R21" s="134">
        <f t="shared" ca="1" si="5"/>
        <v>1</v>
      </c>
      <c r="S21" s="134">
        <f t="shared" ca="1" si="5"/>
        <v>3</v>
      </c>
      <c r="T21" s="134">
        <f t="shared" ca="1" si="5"/>
        <v>3</v>
      </c>
      <c r="U21" s="134">
        <f t="shared" ca="1" si="5"/>
        <v>1</v>
      </c>
      <c r="V21" s="134">
        <f t="shared" ca="1" si="5"/>
        <v>0</v>
      </c>
      <c r="W21" s="134">
        <f t="shared" ca="1" si="5"/>
        <v>3</v>
      </c>
      <c r="X21" s="134">
        <f t="shared" ca="1" si="5"/>
        <v>2</v>
      </c>
      <c r="Z21" s="135" t="s">
        <v>109</v>
      </c>
      <c r="AA21" s="109"/>
      <c r="AB21" s="109"/>
      <c r="AC21" s="136"/>
      <c r="AD21" s="137">
        <f>IF(SUMIF($N$21:$N$25,1,Q$21:Q$25)&gt;0,1,0)</f>
        <v>0</v>
      </c>
      <c r="AE21" s="137">
        <f t="shared" ref="AE21:AK21" si="6">IF(SUMIF($N$21:$N$25,1,R$21:R$25)&gt;0,1,0)</f>
        <v>0</v>
      </c>
      <c r="AF21" s="137">
        <f t="shared" si="6"/>
        <v>0</v>
      </c>
      <c r="AG21" s="137">
        <f t="shared" si="6"/>
        <v>0</v>
      </c>
      <c r="AH21" s="137">
        <f t="shared" si="6"/>
        <v>0</v>
      </c>
      <c r="AI21" s="137">
        <f t="shared" si="6"/>
        <v>0</v>
      </c>
      <c r="AJ21" s="137">
        <f t="shared" si="6"/>
        <v>0</v>
      </c>
      <c r="AK21" s="137">
        <f t="shared" si="6"/>
        <v>0</v>
      </c>
      <c r="AM21" s="138" t="s">
        <v>110</v>
      </c>
      <c r="AN21" s="139">
        <v>0</v>
      </c>
      <c r="AO21" s="140">
        <v>10</v>
      </c>
      <c r="AP21" s="139">
        <f t="shared" ref="AP21:AW25" ca="1" si="7">IF(AD$28=$AN21,AD$21,0)</f>
        <v>0</v>
      </c>
      <c r="AQ21" s="139">
        <f t="shared" ca="1" si="7"/>
        <v>0</v>
      </c>
      <c r="AR21" s="139">
        <f t="shared" ca="1" si="7"/>
        <v>0</v>
      </c>
      <c r="AS21" s="139">
        <f t="shared" ca="1" si="7"/>
        <v>0</v>
      </c>
      <c r="AT21" s="139">
        <f t="shared" ca="1" si="7"/>
        <v>0</v>
      </c>
      <c r="AU21" s="139">
        <f t="shared" ca="1" si="7"/>
        <v>0</v>
      </c>
      <c r="AV21" s="139">
        <f t="shared" ca="1" si="7"/>
        <v>0</v>
      </c>
      <c r="AW21" s="139">
        <f t="shared" ca="1" si="7"/>
        <v>0</v>
      </c>
    </row>
    <row r="22" spans="1:49">
      <c r="A22" s="94"/>
      <c r="B22" s="91"/>
      <c r="C22" s="92">
        <v>18</v>
      </c>
      <c r="D22" s="93">
        <v>452190</v>
      </c>
      <c r="E22" s="93">
        <f t="shared" si="0"/>
        <v>129780</v>
      </c>
      <c r="G22" s="141">
        <v>3</v>
      </c>
      <c r="H22" s="141">
        <v>40</v>
      </c>
      <c r="I22" s="142">
        <f t="shared" si="1"/>
        <v>28051690</v>
      </c>
      <c r="J22" s="143">
        <f>I22/$N$8</f>
        <v>2805.1689999999999</v>
      </c>
      <c r="K22" s="144">
        <f t="shared" si="2"/>
        <v>2806</v>
      </c>
      <c r="L22" s="145">
        <f t="shared" si="3"/>
        <v>2810</v>
      </c>
      <c r="M22" s="146">
        <f t="shared" si="4"/>
        <v>2810</v>
      </c>
      <c r="N22">
        <f>IF($AM$34&gt;=2,1,0)</f>
        <v>0</v>
      </c>
      <c r="O22" s="147" t="s">
        <v>111</v>
      </c>
      <c r="P22" s="148">
        <v>50</v>
      </c>
      <c r="Q22" s="149">
        <f t="shared" ca="1" si="5"/>
        <v>1</v>
      </c>
      <c r="R22" s="149">
        <f t="shared" ca="1" si="5"/>
        <v>0</v>
      </c>
      <c r="S22" s="149">
        <f t="shared" ca="1" si="5"/>
        <v>0</v>
      </c>
      <c r="T22" s="149">
        <f t="shared" ca="1" si="5"/>
        <v>0</v>
      </c>
      <c r="U22" s="149">
        <f t="shared" ca="1" si="5"/>
        <v>1</v>
      </c>
      <c r="V22" s="149">
        <f t="shared" ca="1" si="5"/>
        <v>1</v>
      </c>
      <c r="W22" s="149">
        <f t="shared" ca="1" si="5"/>
        <v>0</v>
      </c>
      <c r="X22" s="149">
        <f t="shared" ca="1" si="5"/>
        <v>1</v>
      </c>
      <c r="Z22" s="108" t="s">
        <v>112</v>
      </c>
      <c r="AA22" s="111"/>
      <c r="AB22" s="150">
        <v>1</v>
      </c>
      <c r="AC22" s="151">
        <v>50</v>
      </c>
      <c r="AD22" s="152" t="b">
        <f t="shared" ref="AD22:AK24" ca="1" si="8">IF(Q22=$AB22,FALSE,TRUE)</f>
        <v>0</v>
      </c>
      <c r="AE22" s="152" t="b">
        <f t="shared" ca="1" si="8"/>
        <v>1</v>
      </c>
      <c r="AF22" s="152" t="b">
        <f t="shared" ca="1" si="8"/>
        <v>1</v>
      </c>
      <c r="AG22" s="152" t="b">
        <f t="shared" ca="1" si="8"/>
        <v>1</v>
      </c>
      <c r="AH22" s="152" t="b">
        <f t="shared" ca="1" si="8"/>
        <v>0</v>
      </c>
      <c r="AI22" s="152" t="b">
        <f t="shared" ca="1" si="8"/>
        <v>0</v>
      </c>
      <c r="AJ22" s="152" t="b">
        <f t="shared" ca="1" si="8"/>
        <v>1</v>
      </c>
      <c r="AK22" s="152" t="b">
        <f t="shared" ca="1" si="8"/>
        <v>0</v>
      </c>
      <c r="AM22" s="153" t="s">
        <v>113</v>
      </c>
      <c r="AN22" s="154">
        <v>1</v>
      </c>
      <c r="AO22" s="155">
        <v>50</v>
      </c>
      <c r="AP22" s="154">
        <f t="shared" ca="1" si="7"/>
        <v>0</v>
      </c>
      <c r="AQ22" s="154">
        <f t="shared" ca="1" si="7"/>
        <v>0</v>
      </c>
      <c r="AR22" s="154">
        <f t="shared" ca="1" si="7"/>
        <v>0</v>
      </c>
      <c r="AS22" s="154">
        <f t="shared" ca="1" si="7"/>
        <v>0</v>
      </c>
      <c r="AT22" s="154">
        <f t="shared" ca="1" si="7"/>
        <v>0</v>
      </c>
      <c r="AU22" s="154">
        <f t="shared" ca="1" si="7"/>
        <v>0</v>
      </c>
      <c r="AV22" s="154">
        <f t="shared" ca="1" si="7"/>
        <v>0</v>
      </c>
      <c r="AW22" s="154">
        <f t="shared" ca="1" si="7"/>
        <v>0</v>
      </c>
    </row>
    <row r="23" spans="1:49">
      <c r="A23" s="94"/>
      <c r="B23" s="91"/>
      <c r="C23" s="92">
        <v>19</v>
      </c>
      <c r="D23" s="93">
        <v>581970</v>
      </c>
      <c r="E23" s="93">
        <f t="shared" si="0"/>
        <v>159920</v>
      </c>
      <c r="G23" s="141">
        <v>4</v>
      </c>
      <c r="H23" s="141">
        <v>50</v>
      </c>
      <c r="I23" s="142">
        <f t="shared" si="1"/>
        <v>67223690</v>
      </c>
      <c r="J23" s="143">
        <f>I23/$N$8</f>
        <v>6722.3689999999997</v>
      </c>
      <c r="K23" s="144">
        <f t="shared" si="2"/>
        <v>6723</v>
      </c>
      <c r="L23" s="145">
        <f t="shared" si="3"/>
        <v>6730</v>
      </c>
      <c r="M23" s="146">
        <f t="shared" si="4"/>
        <v>6730</v>
      </c>
      <c r="N23">
        <f>IF($AM$34&gt;=3,1,0)</f>
        <v>0</v>
      </c>
      <c r="O23" s="147"/>
      <c r="P23" s="148">
        <v>100</v>
      </c>
      <c r="Q23" s="149">
        <f t="shared" ca="1" si="5"/>
        <v>2</v>
      </c>
      <c r="R23" s="149">
        <f t="shared" ca="1" si="5"/>
        <v>3</v>
      </c>
      <c r="S23" s="149">
        <f t="shared" ca="1" si="5"/>
        <v>2</v>
      </c>
      <c r="T23" s="149">
        <f t="shared" ca="1" si="5"/>
        <v>1</v>
      </c>
      <c r="U23" s="149">
        <f t="shared" ca="1" si="5"/>
        <v>3</v>
      </c>
      <c r="V23" s="149">
        <f t="shared" ca="1" si="5"/>
        <v>1</v>
      </c>
      <c r="W23" s="149">
        <f t="shared" ca="1" si="5"/>
        <v>4</v>
      </c>
      <c r="X23" s="149">
        <f t="shared" ca="1" si="5"/>
        <v>2</v>
      </c>
      <c r="Z23" s="156"/>
      <c r="AA23" s="157"/>
      <c r="AB23" s="158">
        <v>4</v>
      </c>
      <c r="AC23" s="159">
        <v>100</v>
      </c>
      <c r="AD23" s="160" t="b">
        <f t="shared" ca="1" si="8"/>
        <v>1</v>
      </c>
      <c r="AE23" s="160" t="b">
        <f t="shared" ca="1" si="8"/>
        <v>1</v>
      </c>
      <c r="AF23" s="160" t="b">
        <f t="shared" ca="1" si="8"/>
        <v>1</v>
      </c>
      <c r="AG23" s="160" t="b">
        <f t="shared" ca="1" si="8"/>
        <v>1</v>
      </c>
      <c r="AH23" s="160" t="b">
        <f t="shared" ca="1" si="8"/>
        <v>1</v>
      </c>
      <c r="AI23" s="160" t="b">
        <f t="shared" ca="1" si="8"/>
        <v>1</v>
      </c>
      <c r="AJ23" s="160" t="b">
        <f t="shared" ca="1" si="8"/>
        <v>0</v>
      </c>
      <c r="AK23" s="160" t="b">
        <f t="shared" ca="1" si="8"/>
        <v>1</v>
      </c>
      <c r="AM23" s="153"/>
      <c r="AN23" s="154">
        <v>2</v>
      </c>
      <c r="AO23" s="155">
        <v>100</v>
      </c>
      <c r="AP23" s="154">
        <f t="shared" ca="1" si="7"/>
        <v>0</v>
      </c>
      <c r="AQ23" s="154">
        <f t="shared" ca="1" si="7"/>
        <v>0</v>
      </c>
      <c r="AR23" s="154">
        <f t="shared" ca="1" si="7"/>
        <v>0</v>
      </c>
      <c r="AS23" s="154">
        <f t="shared" ca="1" si="7"/>
        <v>0</v>
      </c>
      <c r="AT23" s="154">
        <f t="shared" ca="1" si="7"/>
        <v>0</v>
      </c>
      <c r="AU23" s="154">
        <f t="shared" ca="1" si="7"/>
        <v>0</v>
      </c>
      <c r="AV23" s="154">
        <f t="shared" ca="1" si="7"/>
        <v>0</v>
      </c>
      <c r="AW23" s="154">
        <f t="shared" ca="1" si="7"/>
        <v>0</v>
      </c>
    </row>
    <row r="24" spans="1:49">
      <c r="A24" s="94"/>
      <c r="B24" s="91"/>
      <c r="C24" s="92">
        <v>20</v>
      </c>
      <c r="D24" s="93">
        <v>741890</v>
      </c>
      <c r="E24" s="93">
        <f t="shared" si="0"/>
        <v>189800</v>
      </c>
      <c r="G24" s="141">
        <v>5</v>
      </c>
      <c r="H24" s="141">
        <v>60</v>
      </c>
      <c r="I24" s="142">
        <f t="shared" si="1"/>
        <v>141287690</v>
      </c>
      <c r="J24" s="143">
        <f>I24/$N$8</f>
        <v>14128.769</v>
      </c>
      <c r="K24" s="144">
        <f t="shared" si="2"/>
        <v>14129</v>
      </c>
      <c r="L24" s="145">
        <f t="shared" si="3"/>
        <v>14130</v>
      </c>
      <c r="M24" s="146">
        <f t="shared" si="4"/>
        <v>14130</v>
      </c>
      <c r="N24">
        <f>IF($AM$34&gt;=4,1,0)</f>
        <v>0</v>
      </c>
      <c r="O24" s="147"/>
      <c r="P24" s="148">
        <v>500</v>
      </c>
      <c r="Q24" s="149">
        <f t="shared" ca="1" si="5"/>
        <v>1</v>
      </c>
      <c r="R24" s="149">
        <f t="shared" ca="1" si="5"/>
        <v>1</v>
      </c>
      <c r="S24" s="149">
        <f t="shared" ca="1" si="5"/>
        <v>1</v>
      </c>
      <c r="T24" s="149">
        <f t="shared" ca="1" si="5"/>
        <v>0</v>
      </c>
      <c r="U24" s="149">
        <f t="shared" ca="1" si="5"/>
        <v>1</v>
      </c>
      <c r="V24" s="149">
        <f t="shared" ca="1" si="5"/>
        <v>0</v>
      </c>
      <c r="W24" s="149">
        <f t="shared" ca="1" si="5"/>
        <v>1</v>
      </c>
      <c r="X24" s="149">
        <f t="shared" ca="1" si="5"/>
        <v>1</v>
      </c>
      <c r="Z24" s="161"/>
      <c r="AA24" s="162"/>
      <c r="AB24" s="163">
        <v>1</v>
      </c>
      <c r="AC24" s="164">
        <v>500</v>
      </c>
      <c r="AD24" s="165" t="b">
        <f t="shared" ca="1" si="8"/>
        <v>0</v>
      </c>
      <c r="AE24" s="165" t="b">
        <f t="shared" ca="1" si="8"/>
        <v>0</v>
      </c>
      <c r="AF24" s="165" t="b">
        <f t="shared" ca="1" si="8"/>
        <v>0</v>
      </c>
      <c r="AG24" s="165" t="b">
        <f t="shared" ca="1" si="8"/>
        <v>1</v>
      </c>
      <c r="AH24" s="166" t="b">
        <f t="shared" ca="1" si="8"/>
        <v>0</v>
      </c>
      <c r="AI24" s="165" t="b">
        <f t="shared" ca="1" si="8"/>
        <v>1</v>
      </c>
      <c r="AJ24" s="165" t="b">
        <f t="shared" ca="1" si="8"/>
        <v>0</v>
      </c>
      <c r="AK24" s="165" t="b">
        <f t="shared" ca="1" si="8"/>
        <v>0</v>
      </c>
      <c r="AM24" s="153"/>
      <c r="AN24" s="154">
        <v>3</v>
      </c>
      <c r="AO24" s="155">
        <v>500</v>
      </c>
      <c r="AP24" s="154">
        <f t="shared" ca="1" si="7"/>
        <v>0</v>
      </c>
      <c r="AQ24" s="154">
        <f t="shared" ca="1" si="7"/>
        <v>0</v>
      </c>
      <c r="AR24" s="154">
        <f t="shared" ca="1" si="7"/>
        <v>0</v>
      </c>
      <c r="AS24" s="154">
        <f t="shared" ca="1" si="7"/>
        <v>0</v>
      </c>
      <c r="AT24" s="154">
        <f t="shared" ca="1" si="7"/>
        <v>0</v>
      </c>
      <c r="AU24" s="154">
        <f t="shared" ca="1" si="7"/>
        <v>0</v>
      </c>
      <c r="AV24" s="154">
        <f t="shared" ca="1" si="7"/>
        <v>0</v>
      </c>
      <c r="AW24" s="154">
        <f t="shared" ca="1" si="7"/>
        <v>0</v>
      </c>
    </row>
    <row r="25" spans="1:49">
      <c r="A25" s="94"/>
      <c r="B25" s="91"/>
      <c r="C25" s="92">
        <f t="shared" ref="C25:C88" si="9">C15+10</f>
        <v>21</v>
      </c>
      <c r="D25" s="93">
        <v>931690</v>
      </c>
      <c r="E25" s="93">
        <f t="shared" si="0"/>
        <v>222600</v>
      </c>
      <c r="G25" s="141">
        <v>6</v>
      </c>
      <c r="H25" s="141">
        <v>70</v>
      </c>
      <c r="I25" s="142">
        <f t="shared" si="1"/>
        <v>278518690</v>
      </c>
      <c r="J25" s="143">
        <f>I25/$N$8</f>
        <v>27851.868999999999</v>
      </c>
      <c r="K25" s="144">
        <f t="shared" si="2"/>
        <v>27852</v>
      </c>
      <c r="L25" s="145">
        <f t="shared" si="3"/>
        <v>27860</v>
      </c>
      <c r="M25" s="146">
        <f t="shared" si="4"/>
        <v>27860</v>
      </c>
      <c r="O25" s="167"/>
      <c r="P25" s="168">
        <v>1000</v>
      </c>
      <c r="Q25" s="169">
        <f t="shared" ca="1" si="5"/>
        <v>0</v>
      </c>
      <c r="R25" s="169">
        <f t="shared" ca="1" si="5"/>
        <v>2</v>
      </c>
      <c r="S25" s="169">
        <f t="shared" ca="1" si="5"/>
        <v>6</v>
      </c>
      <c r="T25" s="169">
        <f t="shared" ca="1" si="5"/>
        <v>14</v>
      </c>
      <c r="U25" s="169">
        <f t="shared" ca="1" si="5"/>
        <v>27</v>
      </c>
      <c r="V25" s="169">
        <f t="shared" ca="1" si="5"/>
        <v>69</v>
      </c>
      <c r="W25" s="169">
        <f t="shared" ca="1" si="5"/>
        <v>208</v>
      </c>
      <c r="X25" s="169">
        <f t="shared" ca="1" si="5"/>
        <v>1047</v>
      </c>
      <c r="Z25" s="106"/>
      <c r="AA25" s="150">
        <f>1/1</f>
        <v>1</v>
      </c>
      <c r="AB25" s="150">
        <v>2</v>
      </c>
      <c r="AC25" s="151">
        <v>50</v>
      </c>
      <c r="AD25" s="152" t="b">
        <f t="shared" ref="AD25:AK27" ca="1" si="10">IF($AM$34&gt;=$AB25,FALSE,AD22)</f>
        <v>0</v>
      </c>
      <c r="AE25" s="152" t="b">
        <f t="shared" ca="1" si="10"/>
        <v>1</v>
      </c>
      <c r="AF25" s="152" t="b">
        <f t="shared" ca="1" si="10"/>
        <v>1</v>
      </c>
      <c r="AG25" s="152" t="b">
        <f t="shared" ca="1" si="10"/>
        <v>1</v>
      </c>
      <c r="AH25" s="152" t="b">
        <f t="shared" ca="1" si="10"/>
        <v>0</v>
      </c>
      <c r="AI25" s="152" t="b">
        <f t="shared" ca="1" si="10"/>
        <v>0</v>
      </c>
      <c r="AJ25" s="152" t="b">
        <f t="shared" ca="1" si="10"/>
        <v>1</v>
      </c>
      <c r="AK25" s="152" t="b">
        <f t="shared" ca="1" si="10"/>
        <v>0</v>
      </c>
      <c r="AM25" s="118"/>
      <c r="AN25" s="170">
        <v>4</v>
      </c>
      <c r="AO25" s="171">
        <v>1000</v>
      </c>
      <c r="AP25" s="170">
        <f t="shared" ca="1" si="7"/>
        <v>0</v>
      </c>
      <c r="AQ25" s="170">
        <f t="shared" ca="1" si="7"/>
        <v>0</v>
      </c>
      <c r="AR25" s="170">
        <f t="shared" ca="1" si="7"/>
        <v>0</v>
      </c>
      <c r="AS25" s="170">
        <f t="shared" ca="1" si="7"/>
        <v>0</v>
      </c>
      <c r="AT25" s="170">
        <f t="shared" ca="1" si="7"/>
        <v>0</v>
      </c>
      <c r="AU25" s="170">
        <f t="shared" ca="1" si="7"/>
        <v>0</v>
      </c>
      <c r="AV25" s="170">
        <f t="shared" ca="1" si="7"/>
        <v>0</v>
      </c>
      <c r="AW25" s="170">
        <f t="shared" ca="1" si="7"/>
        <v>0</v>
      </c>
    </row>
    <row r="26" spans="1:49">
      <c r="A26" s="94"/>
      <c r="B26" s="91"/>
      <c r="C26" s="92">
        <f t="shared" si="9"/>
        <v>22</v>
      </c>
      <c r="D26" s="93">
        <v>1154290</v>
      </c>
      <c r="E26" s="93">
        <f t="shared" si="0"/>
        <v>272800</v>
      </c>
      <c r="G26" s="141">
        <v>7</v>
      </c>
      <c r="H26" s="141">
        <v>80</v>
      </c>
      <c r="I26" s="142">
        <f t="shared" si="1"/>
        <v>691415926</v>
      </c>
      <c r="J26" s="143">
        <f>I26/$N$8</f>
        <v>69141.592600000004</v>
      </c>
      <c r="K26" s="144">
        <f t="shared" si="2"/>
        <v>69142</v>
      </c>
      <c r="L26" s="145">
        <f t="shared" si="3"/>
        <v>69150</v>
      </c>
      <c r="M26" s="146">
        <f t="shared" si="4"/>
        <v>69150</v>
      </c>
      <c r="O26" s="106" t="s">
        <v>114</v>
      </c>
      <c r="P26" s="139">
        <v>10</v>
      </c>
      <c r="Q26" s="172">
        <f t="shared" ref="Q26:X30" ca="1" si="11">MOD(Q27,$P26)</f>
        <v>0</v>
      </c>
      <c r="R26" s="172">
        <f t="shared" ca="1" si="11"/>
        <v>0</v>
      </c>
      <c r="S26" s="172">
        <f t="shared" ca="1" si="11"/>
        <v>0</v>
      </c>
      <c r="T26" s="172">
        <f t="shared" ca="1" si="11"/>
        <v>0</v>
      </c>
      <c r="U26" s="172">
        <f t="shared" ca="1" si="11"/>
        <v>0</v>
      </c>
      <c r="V26" s="172">
        <f t="shared" ca="1" si="11"/>
        <v>0</v>
      </c>
      <c r="W26" s="172">
        <f t="shared" ca="1" si="11"/>
        <v>0</v>
      </c>
      <c r="X26" s="172">
        <f t="shared" ca="1" si="11"/>
        <v>0</v>
      </c>
      <c r="Z26" s="153"/>
      <c r="AA26" s="158">
        <f>1/2</f>
        <v>0.5</v>
      </c>
      <c r="AB26" s="158">
        <v>3</v>
      </c>
      <c r="AC26" s="159">
        <v>100</v>
      </c>
      <c r="AD26" s="160" t="b">
        <f t="shared" ca="1" si="10"/>
        <v>1</v>
      </c>
      <c r="AE26" s="160" t="b">
        <f t="shared" ca="1" si="10"/>
        <v>1</v>
      </c>
      <c r="AF26" s="160" t="b">
        <f t="shared" ca="1" si="10"/>
        <v>1</v>
      </c>
      <c r="AG26" s="160" t="b">
        <f t="shared" ca="1" si="10"/>
        <v>1</v>
      </c>
      <c r="AH26" s="160" t="b">
        <f t="shared" ca="1" si="10"/>
        <v>1</v>
      </c>
      <c r="AI26" s="160" t="b">
        <f t="shared" ca="1" si="10"/>
        <v>1</v>
      </c>
      <c r="AJ26" s="160" t="b">
        <f t="shared" ca="1" si="10"/>
        <v>0</v>
      </c>
      <c r="AK26" s="160" t="b">
        <f t="shared" ca="1" si="10"/>
        <v>1</v>
      </c>
    </row>
    <row r="27" spans="1:49" ht="12.75" thickBot="1">
      <c r="A27" s="94"/>
      <c r="B27" s="91"/>
      <c r="C27" s="92">
        <f t="shared" si="9"/>
        <v>23</v>
      </c>
      <c r="D27" s="93">
        <v>1427090</v>
      </c>
      <c r="E27" s="93">
        <f t="shared" si="0"/>
        <v>354200</v>
      </c>
      <c r="G27" s="141">
        <v>8</v>
      </c>
      <c r="H27" s="141">
        <v>90</v>
      </c>
      <c r="I27" s="142">
        <f t="shared" si="1"/>
        <v>2089229926</v>
      </c>
      <c r="J27" s="143">
        <f>I27/$N$8</f>
        <v>208922.9926</v>
      </c>
      <c r="K27" s="144">
        <f t="shared" si="2"/>
        <v>208923</v>
      </c>
      <c r="L27" s="145">
        <f t="shared" si="3"/>
        <v>208930</v>
      </c>
      <c r="M27" s="146">
        <f t="shared" si="4"/>
        <v>208930</v>
      </c>
      <c r="O27" s="147"/>
      <c r="P27" s="154">
        <v>50</v>
      </c>
      <c r="Q27" s="173">
        <f t="shared" ca="1" si="11"/>
        <v>40</v>
      </c>
      <c r="R27" s="173">
        <f t="shared" ca="1" si="11"/>
        <v>10</v>
      </c>
      <c r="S27" s="173">
        <f t="shared" ca="1" si="11"/>
        <v>30</v>
      </c>
      <c r="T27" s="173">
        <f t="shared" ca="1" si="11"/>
        <v>30</v>
      </c>
      <c r="U27" s="173">
        <f t="shared" ca="1" si="11"/>
        <v>10</v>
      </c>
      <c r="V27" s="173">
        <f t="shared" ca="1" si="11"/>
        <v>0</v>
      </c>
      <c r="W27" s="173">
        <f t="shared" ca="1" si="11"/>
        <v>30</v>
      </c>
      <c r="X27" s="173">
        <f t="shared" ca="1" si="11"/>
        <v>20</v>
      </c>
      <c r="Z27" s="153"/>
      <c r="AA27" s="163">
        <f>1/3</f>
        <v>0.33333333333333331</v>
      </c>
      <c r="AB27" s="163">
        <v>4</v>
      </c>
      <c r="AC27" s="164">
        <v>500</v>
      </c>
      <c r="AD27" s="165" t="b">
        <f t="shared" ca="1" si="10"/>
        <v>0</v>
      </c>
      <c r="AE27" s="165" t="b">
        <f t="shared" ca="1" si="10"/>
        <v>0</v>
      </c>
      <c r="AF27" s="165" t="b">
        <f t="shared" ca="1" si="10"/>
        <v>0</v>
      </c>
      <c r="AG27" s="165" t="b">
        <f t="shared" ca="1" si="10"/>
        <v>1</v>
      </c>
      <c r="AH27" s="165" t="b">
        <f t="shared" ca="1" si="10"/>
        <v>0</v>
      </c>
      <c r="AI27" s="165" t="b">
        <f t="shared" ca="1" si="10"/>
        <v>1</v>
      </c>
      <c r="AJ27" s="165" t="b">
        <f t="shared" ca="1" si="10"/>
        <v>0</v>
      </c>
      <c r="AK27" s="165" t="b">
        <f t="shared" ca="1" si="10"/>
        <v>0</v>
      </c>
    </row>
    <row r="28" spans="1:49" ht="12.75" thickBot="1">
      <c r="A28" s="94"/>
      <c r="B28" s="91"/>
      <c r="C28" s="92">
        <f t="shared" si="9"/>
        <v>24</v>
      </c>
      <c r="D28" s="93">
        <v>1781290</v>
      </c>
      <c r="E28" s="93">
        <f t="shared" si="0"/>
        <v>470400</v>
      </c>
      <c r="G28" s="174" t="s">
        <v>115</v>
      </c>
      <c r="H28" s="175">
        <f>H45</f>
        <v>95</v>
      </c>
      <c r="I28" s="176">
        <f t="shared" si="1"/>
        <v>10477689858</v>
      </c>
      <c r="J28" s="177">
        <f>I28/$N$8</f>
        <v>1047768.9858</v>
      </c>
      <c r="K28" s="178">
        <f t="shared" si="2"/>
        <v>1047769</v>
      </c>
      <c r="L28" s="179">
        <f t="shared" si="3"/>
        <v>1047770</v>
      </c>
      <c r="M28" s="180">
        <f t="shared" si="4"/>
        <v>1047770</v>
      </c>
      <c r="O28" s="147"/>
      <c r="P28" s="154">
        <v>100</v>
      </c>
      <c r="Q28" s="173">
        <f t="shared" ca="1" si="11"/>
        <v>90</v>
      </c>
      <c r="R28" s="173">
        <f t="shared" ca="1" si="11"/>
        <v>10</v>
      </c>
      <c r="S28" s="173">
        <f t="shared" ca="1" si="11"/>
        <v>30</v>
      </c>
      <c r="T28" s="173">
        <f t="shared" ca="1" si="11"/>
        <v>30</v>
      </c>
      <c r="U28" s="173">
        <f t="shared" ca="1" si="11"/>
        <v>60</v>
      </c>
      <c r="V28" s="173">
        <f t="shared" ca="1" si="11"/>
        <v>50</v>
      </c>
      <c r="W28" s="173">
        <f t="shared" ca="1" si="11"/>
        <v>30</v>
      </c>
      <c r="X28" s="173">
        <f t="shared" ca="1" si="11"/>
        <v>70</v>
      </c>
      <c r="Z28" s="161" t="s">
        <v>116</v>
      </c>
      <c r="AA28" s="109"/>
      <c r="AB28" s="109"/>
      <c r="AC28" s="181"/>
      <c r="AD28" s="137">
        <f t="shared" ref="AD28:AK28" ca="1" si="12">1/MAX(AD25*$AA25,AD26*$AA26,AD27*$AA27,1/4)</f>
        <v>2</v>
      </c>
      <c r="AE28" s="137">
        <f t="shared" ca="1" si="12"/>
        <v>1</v>
      </c>
      <c r="AF28" s="137">
        <f t="shared" ca="1" si="12"/>
        <v>1</v>
      </c>
      <c r="AG28" s="137">
        <f t="shared" ca="1" si="12"/>
        <v>1</v>
      </c>
      <c r="AH28" s="137">
        <f t="shared" ca="1" si="12"/>
        <v>2</v>
      </c>
      <c r="AI28" s="137">
        <f t="shared" ca="1" si="12"/>
        <v>2</v>
      </c>
      <c r="AJ28" s="137">
        <f t="shared" ca="1" si="12"/>
        <v>1</v>
      </c>
      <c r="AK28" s="137">
        <f t="shared" ca="1" si="12"/>
        <v>2</v>
      </c>
      <c r="AM28" s="138" t="s">
        <v>108</v>
      </c>
      <c r="AN28" s="182">
        <v>1</v>
      </c>
      <c r="AO28" s="183">
        <v>10</v>
      </c>
      <c r="AP28" s="184">
        <f t="shared" ref="AP28:AW31" ca="1" si="13">(Q21+AP21)*AD29</f>
        <v>4</v>
      </c>
      <c r="AQ28" s="184">
        <f t="shared" ca="1" si="13"/>
        <v>1</v>
      </c>
      <c r="AR28" s="184">
        <f t="shared" ca="1" si="13"/>
        <v>3</v>
      </c>
      <c r="AS28" s="184">
        <f t="shared" ca="1" si="13"/>
        <v>3</v>
      </c>
      <c r="AT28" s="184">
        <f t="shared" ca="1" si="13"/>
        <v>1</v>
      </c>
      <c r="AU28" s="184">
        <f t="shared" ca="1" si="13"/>
        <v>0</v>
      </c>
      <c r="AV28" s="184">
        <f t="shared" ca="1" si="13"/>
        <v>3</v>
      </c>
      <c r="AW28" s="185">
        <f t="shared" ca="1" si="13"/>
        <v>2</v>
      </c>
    </row>
    <row r="29" spans="1:49">
      <c r="B29" s="91"/>
      <c r="C29" s="92">
        <f t="shared" si="9"/>
        <v>25</v>
      </c>
      <c r="D29" s="93">
        <v>2251690</v>
      </c>
      <c r="E29" s="93">
        <f t="shared" si="0"/>
        <v>625000</v>
      </c>
      <c r="O29" s="147"/>
      <c r="P29" s="154">
        <v>500</v>
      </c>
      <c r="Q29" s="173">
        <f t="shared" ca="1" si="11"/>
        <v>290</v>
      </c>
      <c r="R29" s="173">
        <f t="shared" ca="1" si="11"/>
        <v>310</v>
      </c>
      <c r="S29" s="173">
        <f t="shared" ca="1" si="11"/>
        <v>230</v>
      </c>
      <c r="T29" s="173">
        <f t="shared" ca="1" si="11"/>
        <v>130</v>
      </c>
      <c r="U29" s="173">
        <f t="shared" ca="1" si="11"/>
        <v>360</v>
      </c>
      <c r="V29" s="173">
        <f t="shared" ca="1" si="11"/>
        <v>150</v>
      </c>
      <c r="W29" s="173">
        <f t="shared" ca="1" si="11"/>
        <v>430</v>
      </c>
      <c r="X29" s="173">
        <f t="shared" ca="1" si="11"/>
        <v>270</v>
      </c>
      <c r="Z29" s="108" t="s">
        <v>117</v>
      </c>
      <c r="AA29" s="111"/>
      <c r="AB29" s="150">
        <v>1</v>
      </c>
      <c r="AC29" s="151">
        <v>10</v>
      </c>
      <c r="AD29" s="152" t="b">
        <f ca="1">IF(AND(AD$21=1,AD$28&gt;=$AB29),FALSE,TRUE)</f>
        <v>1</v>
      </c>
      <c r="AE29" s="152" t="b">
        <f t="shared" ref="AE29:AK29" ca="1" si="14">IF(AND(AE$21=1,AE$28&gt;=$AB29),FALSE,TRUE)</f>
        <v>1</v>
      </c>
      <c r="AF29" s="152" t="b">
        <f t="shared" ca="1" si="14"/>
        <v>1</v>
      </c>
      <c r="AG29" s="152" t="b">
        <f t="shared" ca="1" si="14"/>
        <v>1</v>
      </c>
      <c r="AH29" s="152" t="b">
        <f t="shared" ca="1" si="14"/>
        <v>1</v>
      </c>
      <c r="AI29" s="152" t="b">
        <f t="shared" ca="1" si="14"/>
        <v>1</v>
      </c>
      <c r="AJ29" s="152" t="b">
        <f t="shared" ca="1" si="14"/>
        <v>1</v>
      </c>
      <c r="AK29" s="152" t="b">
        <f t="shared" ca="1" si="14"/>
        <v>1</v>
      </c>
      <c r="AM29" s="153"/>
      <c r="AN29" s="186">
        <v>2</v>
      </c>
      <c r="AO29" s="187">
        <v>50</v>
      </c>
      <c r="AP29" s="154">
        <f t="shared" ca="1" si="13"/>
        <v>1</v>
      </c>
      <c r="AQ29" s="154">
        <f t="shared" ca="1" si="13"/>
        <v>0</v>
      </c>
      <c r="AR29" s="154">
        <f t="shared" ca="1" si="13"/>
        <v>0</v>
      </c>
      <c r="AS29" s="154">
        <f t="shared" ca="1" si="13"/>
        <v>0</v>
      </c>
      <c r="AT29" s="154">
        <f t="shared" ca="1" si="13"/>
        <v>1</v>
      </c>
      <c r="AU29" s="154">
        <f t="shared" ca="1" si="13"/>
        <v>1</v>
      </c>
      <c r="AV29" s="154">
        <f t="shared" ca="1" si="13"/>
        <v>0</v>
      </c>
      <c r="AW29" s="188">
        <f t="shared" ca="1" si="13"/>
        <v>1</v>
      </c>
    </row>
    <row r="30" spans="1:49">
      <c r="B30" s="91"/>
      <c r="C30" s="92">
        <f t="shared" si="9"/>
        <v>26</v>
      </c>
      <c r="D30" s="93">
        <v>2876690</v>
      </c>
      <c r="E30" s="93">
        <f t="shared" si="0"/>
        <v>821600</v>
      </c>
      <c r="G30" s="76"/>
      <c r="H30" s="76"/>
      <c r="L30" s="189"/>
      <c r="N30" s="190"/>
      <c r="O30" s="167"/>
      <c r="P30" s="191">
        <v>1000</v>
      </c>
      <c r="Q30" s="192">
        <f t="shared" ca="1" si="11"/>
        <v>790</v>
      </c>
      <c r="R30" s="192">
        <f t="shared" ca="1" si="11"/>
        <v>810</v>
      </c>
      <c r="S30" s="192">
        <f t="shared" ca="1" si="11"/>
        <v>730</v>
      </c>
      <c r="T30" s="192">
        <f t="shared" ca="1" si="11"/>
        <v>130</v>
      </c>
      <c r="U30" s="192">
        <f t="shared" ca="1" si="11"/>
        <v>860</v>
      </c>
      <c r="V30" s="192">
        <f t="shared" ca="1" si="11"/>
        <v>150</v>
      </c>
      <c r="W30" s="192">
        <f t="shared" ca="1" si="11"/>
        <v>930</v>
      </c>
      <c r="X30" s="192">
        <f t="shared" ca="1" si="11"/>
        <v>770</v>
      </c>
      <c r="Z30" s="156"/>
      <c r="AA30" s="157"/>
      <c r="AB30" s="158">
        <v>2</v>
      </c>
      <c r="AC30" s="159">
        <v>50</v>
      </c>
      <c r="AD30" s="160" t="b">
        <f t="shared" ref="AD30:AK32" ca="1" si="15">IF(AND(AD$21=1,AD$28&gt;=$AB30),FALSE,TRUE)</f>
        <v>1</v>
      </c>
      <c r="AE30" s="160" t="b">
        <f t="shared" ca="1" si="15"/>
        <v>1</v>
      </c>
      <c r="AF30" s="160" t="b">
        <f t="shared" ca="1" si="15"/>
        <v>1</v>
      </c>
      <c r="AG30" s="160" t="b">
        <f t="shared" ca="1" si="15"/>
        <v>1</v>
      </c>
      <c r="AH30" s="160" t="b">
        <f t="shared" ca="1" si="15"/>
        <v>1</v>
      </c>
      <c r="AI30" s="160" t="b">
        <f t="shared" ca="1" si="15"/>
        <v>1</v>
      </c>
      <c r="AJ30" s="160" t="b">
        <f t="shared" ca="1" si="15"/>
        <v>1</v>
      </c>
      <c r="AK30" s="160" t="b">
        <f t="shared" ca="1" si="15"/>
        <v>1</v>
      </c>
      <c r="AM30" s="153"/>
      <c r="AN30" s="186">
        <v>3</v>
      </c>
      <c r="AO30" s="187">
        <v>100</v>
      </c>
      <c r="AP30" s="154">
        <f t="shared" ca="1" si="13"/>
        <v>2</v>
      </c>
      <c r="AQ30" s="154">
        <f t="shared" ca="1" si="13"/>
        <v>3</v>
      </c>
      <c r="AR30" s="154">
        <f t="shared" ca="1" si="13"/>
        <v>2</v>
      </c>
      <c r="AS30" s="154">
        <f t="shared" ca="1" si="13"/>
        <v>1</v>
      </c>
      <c r="AT30" s="154">
        <f t="shared" ca="1" si="13"/>
        <v>3</v>
      </c>
      <c r="AU30" s="154">
        <f t="shared" ca="1" si="13"/>
        <v>1</v>
      </c>
      <c r="AV30" s="154">
        <f t="shared" ca="1" si="13"/>
        <v>4</v>
      </c>
      <c r="AW30" s="188">
        <f t="shared" ca="1" si="13"/>
        <v>2</v>
      </c>
    </row>
    <row r="31" spans="1:49">
      <c r="B31" s="91"/>
      <c r="C31" s="92">
        <f t="shared" si="9"/>
        <v>27</v>
      </c>
      <c r="D31" s="93">
        <v>3698290</v>
      </c>
      <c r="E31" s="93">
        <f t="shared" si="0"/>
        <v>1063800</v>
      </c>
      <c r="O31" s="193" t="s">
        <v>118</v>
      </c>
      <c r="P31" s="193"/>
      <c r="Q31" s="194">
        <f t="shared" ref="Q31:X31" ca="1" si="16">OFFSET($L$20,Q$18,0)</f>
        <v>790</v>
      </c>
      <c r="R31" s="194">
        <f t="shared" ca="1" si="16"/>
        <v>2810</v>
      </c>
      <c r="S31" s="194">
        <f t="shared" ca="1" si="16"/>
        <v>6730</v>
      </c>
      <c r="T31" s="194">
        <f t="shared" ca="1" si="16"/>
        <v>14130</v>
      </c>
      <c r="U31" s="194">
        <f t="shared" ca="1" si="16"/>
        <v>27860</v>
      </c>
      <c r="V31" s="194">
        <f t="shared" ca="1" si="16"/>
        <v>69150</v>
      </c>
      <c r="W31" s="194">
        <f t="shared" ca="1" si="16"/>
        <v>208930</v>
      </c>
      <c r="X31" s="194">
        <f t="shared" ca="1" si="16"/>
        <v>1047770</v>
      </c>
      <c r="Z31" s="156"/>
      <c r="AA31" s="157"/>
      <c r="AB31" s="158">
        <v>3</v>
      </c>
      <c r="AC31" s="159">
        <v>100</v>
      </c>
      <c r="AD31" s="160" t="b">
        <f t="shared" ca="1" si="15"/>
        <v>1</v>
      </c>
      <c r="AE31" s="160" t="b">
        <f t="shared" ca="1" si="15"/>
        <v>1</v>
      </c>
      <c r="AF31" s="160" t="b">
        <f t="shared" ca="1" si="15"/>
        <v>1</v>
      </c>
      <c r="AG31" s="160" t="b">
        <f t="shared" ca="1" si="15"/>
        <v>1</v>
      </c>
      <c r="AH31" s="160" t="b">
        <f t="shared" ca="1" si="15"/>
        <v>1</v>
      </c>
      <c r="AI31" s="160" t="b">
        <f t="shared" ca="1" si="15"/>
        <v>1</v>
      </c>
      <c r="AJ31" s="160" t="b">
        <f t="shared" ca="1" si="15"/>
        <v>1</v>
      </c>
      <c r="AK31" s="160" t="b">
        <f t="shared" ca="1" si="15"/>
        <v>1</v>
      </c>
      <c r="AM31" s="153"/>
      <c r="AN31" s="186">
        <v>4</v>
      </c>
      <c r="AO31" s="187">
        <v>500</v>
      </c>
      <c r="AP31" s="154">
        <f t="shared" ca="1" si="13"/>
        <v>1</v>
      </c>
      <c r="AQ31" s="154">
        <f t="shared" ca="1" si="13"/>
        <v>1</v>
      </c>
      <c r="AR31" s="154">
        <f t="shared" ca="1" si="13"/>
        <v>1</v>
      </c>
      <c r="AS31" s="154">
        <f t="shared" ca="1" si="13"/>
        <v>0</v>
      </c>
      <c r="AT31" s="154">
        <f t="shared" ca="1" si="13"/>
        <v>1</v>
      </c>
      <c r="AU31" s="154">
        <f t="shared" ca="1" si="13"/>
        <v>0</v>
      </c>
      <c r="AV31" s="154">
        <f t="shared" ca="1" si="13"/>
        <v>1</v>
      </c>
      <c r="AW31" s="188">
        <f t="shared" ca="1" si="13"/>
        <v>1</v>
      </c>
    </row>
    <row r="32" spans="1:49" ht="12.75" thickBot="1">
      <c r="B32" s="91"/>
      <c r="C32" s="92">
        <f t="shared" si="9"/>
        <v>28</v>
      </c>
      <c r="D32" s="93">
        <v>4762090</v>
      </c>
      <c r="E32" s="93">
        <f t="shared" si="0"/>
        <v>1355200</v>
      </c>
      <c r="O32" s="193" t="s">
        <v>119</v>
      </c>
      <c r="P32" s="193"/>
      <c r="Q32" s="194">
        <f t="shared" ref="Q32:X32" ca="1" si="17">OFFSET($M$20,Q$18,0)</f>
        <v>790</v>
      </c>
      <c r="R32" s="194">
        <f t="shared" ca="1" si="17"/>
        <v>2810</v>
      </c>
      <c r="S32" s="194">
        <f t="shared" ca="1" si="17"/>
        <v>6730</v>
      </c>
      <c r="T32" s="194">
        <f t="shared" ca="1" si="17"/>
        <v>14130</v>
      </c>
      <c r="U32" s="194">
        <f t="shared" ca="1" si="17"/>
        <v>27860</v>
      </c>
      <c r="V32" s="194">
        <f t="shared" ca="1" si="17"/>
        <v>69150</v>
      </c>
      <c r="W32" s="194">
        <f t="shared" ca="1" si="17"/>
        <v>208930</v>
      </c>
      <c r="X32" s="194">
        <f t="shared" ca="1" si="17"/>
        <v>1047770</v>
      </c>
      <c r="Z32" s="161"/>
      <c r="AA32" s="162"/>
      <c r="AB32" s="163">
        <v>4</v>
      </c>
      <c r="AC32" s="164">
        <v>500</v>
      </c>
      <c r="AD32" s="165" t="b">
        <f t="shared" ca="1" si="15"/>
        <v>1</v>
      </c>
      <c r="AE32" s="165" t="b">
        <f t="shared" ca="1" si="15"/>
        <v>1</v>
      </c>
      <c r="AF32" s="165" t="b">
        <f t="shared" ca="1" si="15"/>
        <v>1</v>
      </c>
      <c r="AG32" s="165" t="b">
        <f t="shared" ca="1" si="15"/>
        <v>1</v>
      </c>
      <c r="AH32" s="165" t="b">
        <f t="shared" ca="1" si="15"/>
        <v>1</v>
      </c>
      <c r="AI32" s="165" t="b">
        <f t="shared" ca="1" si="15"/>
        <v>1</v>
      </c>
      <c r="AJ32" s="165" t="b">
        <f t="shared" ca="1" si="15"/>
        <v>1</v>
      </c>
      <c r="AK32" s="165" t="b">
        <f t="shared" ca="1" si="15"/>
        <v>1</v>
      </c>
      <c r="AM32" s="118"/>
      <c r="AN32" s="195">
        <v>5</v>
      </c>
      <c r="AO32" s="196">
        <v>1000</v>
      </c>
      <c r="AP32" s="197">
        <f t="shared" ref="AP32:AW32" ca="1" si="18">(Q25+AP25)</f>
        <v>0</v>
      </c>
      <c r="AQ32" s="197">
        <f t="shared" ca="1" si="18"/>
        <v>2</v>
      </c>
      <c r="AR32" s="197">
        <f t="shared" ca="1" si="18"/>
        <v>6</v>
      </c>
      <c r="AS32" s="197">
        <f t="shared" ca="1" si="18"/>
        <v>14</v>
      </c>
      <c r="AT32" s="197">
        <f t="shared" ca="1" si="18"/>
        <v>27</v>
      </c>
      <c r="AU32" s="197">
        <f t="shared" ca="1" si="18"/>
        <v>69</v>
      </c>
      <c r="AV32" s="197">
        <f t="shared" ca="1" si="18"/>
        <v>208</v>
      </c>
      <c r="AW32" s="198">
        <f t="shared" ca="1" si="18"/>
        <v>1047</v>
      </c>
    </row>
    <row r="33" spans="2:49">
      <c r="B33" s="91"/>
      <c r="C33" s="92">
        <f t="shared" si="9"/>
        <v>29</v>
      </c>
      <c r="D33" s="93">
        <v>6117290</v>
      </c>
      <c r="E33" s="93">
        <f t="shared" si="0"/>
        <v>1699400</v>
      </c>
    </row>
    <row r="34" spans="2:49">
      <c r="B34" s="91">
        <v>2</v>
      </c>
      <c r="C34" s="92">
        <f t="shared" si="9"/>
        <v>30</v>
      </c>
      <c r="D34" s="93">
        <v>7816690</v>
      </c>
      <c r="E34" s="93">
        <f t="shared" si="0"/>
        <v>840000</v>
      </c>
      <c r="AM34" s="199">
        <f>魔力の結晶計算機!B10-1</f>
        <v>0</v>
      </c>
    </row>
    <row r="35" spans="2:49">
      <c r="B35" s="91"/>
      <c r="C35" s="92">
        <f t="shared" si="9"/>
        <v>31</v>
      </c>
      <c r="D35" s="93">
        <v>8656690</v>
      </c>
      <c r="E35" s="93">
        <f t="shared" si="0"/>
        <v>899000</v>
      </c>
      <c r="G35" s="200" t="s">
        <v>120</v>
      </c>
      <c r="H35" s="189"/>
      <c r="I35" s="189"/>
      <c r="J35" s="189"/>
      <c r="K35" s="201"/>
      <c r="L35" s="189"/>
      <c r="M35" s="189"/>
      <c r="O35" s="200" t="s">
        <v>120</v>
      </c>
    </row>
    <row r="36" spans="2:49" ht="12.75" thickBot="1">
      <c r="B36" s="91"/>
      <c r="C36" s="92">
        <f t="shared" si="9"/>
        <v>32</v>
      </c>
      <c r="D36" s="93">
        <v>9555690</v>
      </c>
      <c r="E36" s="93">
        <f t="shared" si="0"/>
        <v>1024000</v>
      </c>
      <c r="G36" s="202"/>
      <c r="H36" s="203"/>
      <c r="I36" s="204" t="s">
        <v>76</v>
      </c>
      <c r="J36" s="205" t="s">
        <v>77</v>
      </c>
      <c r="K36" s="206"/>
      <c r="L36" s="207"/>
      <c r="M36" s="208"/>
      <c r="O36" s="209"/>
      <c r="P36" s="210" t="s">
        <v>121</v>
      </c>
      <c r="Q36" s="210" t="s">
        <v>122</v>
      </c>
      <c r="R36" s="210" t="s">
        <v>123</v>
      </c>
      <c r="S36" s="210" t="s">
        <v>81</v>
      </c>
      <c r="T36" s="210" t="s">
        <v>82</v>
      </c>
      <c r="U36" s="210" t="s">
        <v>83</v>
      </c>
      <c r="V36" s="210" t="s">
        <v>84</v>
      </c>
      <c r="W36" s="210" t="s">
        <v>85</v>
      </c>
      <c r="X36" s="210" t="s">
        <v>124</v>
      </c>
      <c r="Z36" s="114"/>
      <c r="AA36" s="102"/>
      <c r="AB36" s="115"/>
      <c r="AC36" s="210" t="s">
        <v>121</v>
      </c>
      <c r="AD36" s="210" t="s">
        <v>122</v>
      </c>
      <c r="AE36" s="210" t="s">
        <v>123</v>
      </c>
      <c r="AF36" s="210" t="s">
        <v>81</v>
      </c>
      <c r="AG36" s="210" t="s">
        <v>82</v>
      </c>
      <c r="AH36" s="210" t="s">
        <v>83</v>
      </c>
      <c r="AI36" s="210" t="s">
        <v>84</v>
      </c>
      <c r="AJ36" s="210" t="s">
        <v>85</v>
      </c>
      <c r="AK36" s="210" t="s">
        <v>124</v>
      </c>
      <c r="AM36" s="114"/>
      <c r="AN36" s="211"/>
      <c r="AO36" s="210" t="s">
        <v>121</v>
      </c>
      <c r="AP36" s="210" t="s">
        <v>122</v>
      </c>
      <c r="AQ36" s="210" t="s">
        <v>123</v>
      </c>
      <c r="AR36" s="210" t="s">
        <v>81</v>
      </c>
      <c r="AS36" s="210" t="s">
        <v>82</v>
      </c>
      <c r="AT36" s="210" t="s">
        <v>83</v>
      </c>
      <c r="AU36" s="210" t="s">
        <v>84</v>
      </c>
      <c r="AV36" s="210" t="s">
        <v>85</v>
      </c>
      <c r="AW36" s="210" t="s">
        <v>124</v>
      </c>
    </row>
    <row r="37" spans="2:49">
      <c r="B37" s="91"/>
      <c r="C37" s="92">
        <f t="shared" si="9"/>
        <v>33</v>
      </c>
      <c r="D37" s="93">
        <v>10579690</v>
      </c>
      <c r="E37" s="93">
        <f t="shared" si="0"/>
        <v>1221000</v>
      </c>
      <c r="G37" s="212" t="s">
        <v>125</v>
      </c>
      <c r="H37" s="212" t="s">
        <v>107</v>
      </c>
      <c r="I37" s="213" t="s">
        <v>95</v>
      </c>
      <c r="J37" s="214"/>
      <c r="K37" s="215" t="s">
        <v>96</v>
      </c>
      <c r="L37" s="216" t="s">
        <v>97</v>
      </c>
      <c r="M37" s="217" t="s">
        <v>98</v>
      </c>
      <c r="O37" s="214"/>
      <c r="P37" s="212" t="s">
        <v>99</v>
      </c>
      <c r="Q37" s="218" t="s">
        <v>126</v>
      </c>
      <c r="R37" s="218" t="s">
        <v>127</v>
      </c>
      <c r="S37" s="218" t="s">
        <v>102</v>
      </c>
      <c r="T37" s="218" t="s">
        <v>103</v>
      </c>
      <c r="U37" s="218" t="s">
        <v>104</v>
      </c>
      <c r="V37" s="218" t="s">
        <v>105</v>
      </c>
      <c r="W37" s="218" t="s">
        <v>106</v>
      </c>
      <c r="X37" s="218" t="s">
        <v>94</v>
      </c>
      <c r="Z37" s="124"/>
      <c r="AA37" s="125"/>
      <c r="AB37" s="126"/>
      <c r="AC37" s="212" t="s">
        <v>99</v>
      </c>
      <c r="AD37" s="218" t="s">
        <v>126</v>
      </c>
      <c r="AE37" s="218" t="s">
        <v>127</v>
      </c>
      <c r="AF37" s="218" t="s">
        <v>102</v>
      </c>
      <c r="AG37" s="218" t="s">
        <v>103</v>
      </c>
      <c r="AH37" s="218" t="s">
        <v>104</v>
      </c>
      <c r="AI37" s="218" t="s">
        <v>105</v>
      </c>
      <c r="AJ37" s="218" t="s">
        <v>106</v>
      </c>
      <c r="AK37" s="218" t="s">
        <v>94</v>
      </c>
      <c r="AM37" s="124"/>
      <c r="AN37" s="219"/>
      <c r="AO37" s="212" t="s">
        <v>99</v>
      </c>
      <c r="AP37" s="218" t="s">
        <v>126</v>
      </c>
      <c r="AQ37" s="218" t="s">
        <v>127</v>
      </c>
      <c r="AR37" s="218" t="s">
        <v>102</v>
      </c>
      <c r="AS37" s="218" t="s">
        <v>103</v>
      </c>
      <c r="AT37" s="218" t="s">
        <v>104</v>
      </c>
      <c r="AU37" s="218" t="s">
        <v>105</v>
      </c>
      <c r="AV37" s="218" t="s">
        <v>106</v>
      </c>
      <c r="AW37" s="218" t="s">
        <v>94</v>
      </c>
    </row>
    <row r="38" spans="2:49">
      <c r="B38" s="91"/>
      <c r="C38" s="92">
        <f t="shared" si="9"/>
        <v>34</v>
      </c>
      <c r="D38" s="93">
        <v>11800690</v>
      </c>
      <c r="E38" s="93">
        <f t="shared" si="0"/>
        <v>1496000</v>
      </c>
      <c r="G38" s="220">
        <v>2</v>
      </c>
      <c r="H38" s="220">
        <v>30</v>
      </c>
      <c r="I38" s="221">
        <f t="shared" ref="I38:I44" si="19">SUMIF($B$6:$B$104,$G38,$D$6:$D$104)</f>
        <v>7816690</v>
      </c>
      <c r="J38" s="222">
        <f>I38/$N$8</f>
        <v>781.66899999999998</v>
      </c>
      <c r="K38" s="223">
        <f t="shared" ref="K38:K45" si="20">ROUNDUP(J38,0)</f>
        <v>782</v>
      </c>
      <c r="L38" s="224">
        <f t="shared" ref="L38:L45" si="21">ROUNDUP(J38,-1)</f>
        <v>790</v>
      </c>
      <c r="M38" s="225">
        <f t="shared" ref="M38:M45" si="22">IF($J$10,K38,L38)</f>
        <v>790</v>
      </c>
      <c r="N38">
        <f>IF($AM$34&gt;=1,1,0)</f>
        <v>0</v>
      </c>
      <c r="O38" s="202" t="s">
        <v>108</v>
      </c>
      <c r="P38" s="226">
        <v>10</v>
      </c>
      <c r="Q38" s="227">
        <f t="shared" ref="Q38:X42" ca="1" si="23">INT(Q44/$P38)</f>
        <v>4</v>
      </c>
      <c r="R38" s="227">
        <f t="shared" ca="1" si="23"/>
        <v>1</v>
      </c>
      <c r="S38" s="227">
        <f t="shared" ca="1" si="23"/>
        <v>3</v>
      </c>
      <c r="T38" s="227">
        <f t="shared" ca="1" si="23"/>
        <v>3</v>
      </c>
      <c r="U38" s="227">
        <f t="shared" ca="1" si="23"/>
        <v>1</v>
      </c>
      <c r="V38" s="227">
        <f t="shared" ca="1" si="23"/>
        <v>0</v>
      </c>
      <c r="W38" s="227">
        <f t="shared" ca="1" si="23"/>
        <v>3</v>
      </c>
      <c r="X38" s="227">
        <f t="shared" ca="1" si="23"/>
        <v>2</v>
      </c>
      <c r="Z38" s="228" t="s">
        <v>109</v>
      </c>
      <c r="AA38" s="206"/>
      <c r="AB38" s="206"/>
      <c r="AC38" s="181"/>
      <c r="AD38" s="229">
        <f t="shared" ref="AD38:AK38" si="24">IF(SUMIF($N$38:$N$42,1,Q$38:Q$42)&gt;0,1,0)</f>
        <v>0</v>
      </c>
      <c r="AE38" s="229">
        <f t="shared" si="24"/>
        <v>0</v>
      </c>
      <c r="AF38" s="229">
        <f t="shared" si="24"/>
        <v>0</v>
      </c>
      <c r="AG38" s="229">
        <f t="shared" si="24"/>
        <v>0</v>
      </c>
      <c r="AH38" s="229">
        <f t="shared" si="24"/>
        <v>0</v>
      </c>
      <c r="AI38" s="229">
        <f t="shared" si="24"/>
        <v>0</v>
      </c>
      <c r="AJ38" s="229">
        <f t="shared" si="24"/>
        <v>0</v>
      </c>
      <c r="AK38" s="229">
        <f t="shared" si="24"/>
        <v>0</v>
      </c>
      <c r="AM38" s="230" t="s">
        <v>110</v>
      </c>
      <c r="AN38" s="231">
        <v>0</v>
      </c>
      <c r="AO38" s="232">
        <v>10</v>
      </c>
      <c r="AP38" s="231">
        <f t="shared" ref="AP38:AW42" ca="1" si="25">IF(AD$45=$AN38,AD$38,0)</f>
        <v>0</v>
      </c>
      <c r="AQ38" s="231">
        <f t="shared" ca="1" si="25"/>
        <v>0</v>
      </c>
      <c r="AR38" s="231">
        <f t="shared" ca="1" si="25"/>
        <v>0</v>
      </c>
      <c r="AS38" s="231">
        <f t="shared" ca="1" si="25"/>
        <v>0</v>
      </c>
      <c r="AT38" s="231">
        <f t="shared" ca="1" si="25"/>
        <v>0</v>
      </c>
      <c r="AU38" s="231">
        <f t="shared" ca="1" si="25"/>
        <v>0</v>
      </c>
      <c r="AV38" s="231">
        <f t="shared" ca="1" si="25"/>
        <v>0</v>
      </c>
      <c r="AW38" s="231">
        <f t="shared" ca="1" si="25"/>
        <v>0</v>
      </c>
    </row>
    <row r="39" spans="2:49">
      <c r="B39" s="91"/>
      <c r="C39" s="92">
        <f t="shared" si="9"/>
        <v>35</v>
      </c>
      <c r="D39" s="93">
        <v>13296690</v>
      </c>
      <c r="E39" s="93">
        <f t="shared" si="0"/>
        <v>1855000</v>
      </c>
      <c r="G39" s="233">
        <v>3</v>
      </c>
      <c r="H39" s="233">
        <v>40</v>
      </c>
      <c r="I39" s="234">
        <f t="shared" si="19"/>
        <v>28051690</v>
      </c>
      <c r="J39" s="235">
        <f>I39/$N$8</f>
        <v>2805.1689999999999</v>
      </c>
      <c r="K39" s="236">
        <f t="shared" si="20"/>
        <v>2806</v>
      </c>
      <c r="L39" s="237">
        <f t="shared" si="21"/>
        <v>2810</v>
      </c>
      <c r="M39" s="238">
        <f t="shared" si="22"/>
        <v>2810</v>
      </c>
      <c r="N39">
        <f>IF($AM$34&gt;=2,1,0)</f>
        <v>0</v>
      </c>
      <c r="O39" s="239" t="s">
        <v>128</v>
      </c>
      <c r="P39" s="240">
        <v>50</v>
      </c>
      <c r="Q39" s="241">
        <f t="shared" ca="1" si="23"/>
        <v>1</v>
      </c>
      <c r="R39" s="241">
        <f t="shared" ca="1" si="23"/>
        <v>0</v>
      </c>
      <c r="S39" s="241">
        <f t="shared" ca="1" si="23"/>
        <v>0</v>
      </c>
      <c r="T39" s="241">
        <f t="shared" ca="1" si="23"/>
        <v>0</v>
      </c>
      <c r="U39" s="241">
        <f t="shared" ca="1" si="23"/>
        <v>1</v>
      </c>
      <c r="V39" s="241">
        <f t="shared" ca="1" si="23"/>
        <v>1</v>
      </c>
      <c r="W39" s="241">
        <f t="shared" ca="1" si="23"/>
        <v>0</v>
      </c>
      <c r="X39" s="241">
        <f t="shared" ca="1" si="23"/>
        <v>1</v>
      </c>
      <c r="Z39" s="205" t="s">
        <v>112</v>
      </c>
      <c r="AA39" s="208"/>
      <c r="AB39" s="242">
        <v>1</v>
      </c>
      <c r="AC39" s="243">
        <v>50</v>
      </c>
      <c r="AD39" s="244" t="b">
        <f t="shared" ref="AD39:AK41" ca="1" si="26">IF(Q39=$AB39,FALSE,TRUE)</f>
        <v>0</v>
      </c>
      <c r="AE39" s="244" t="b">
        <f t="shared" ca="1" si="26"/>
        <v>1</v>
      </c>
      <c r="AF39" s="244" t="b">
        <f t="shared" ca="1" si="26"/>
        <v>1</v>
      </c>
      <c r="AG39" s="244" t="b">
        <f t="shared" ca="1" si="26"/>
        <v>1</v>
      </c>
      <c r="AH39" s="244" t="b">
        <f t="shared" ca="1" si="26"/>
        <v>0</v>
      </c>
      <c r="AI39" s="244" t="b">
        <f t="shared" ca="1" si="26"/>
        <v>0</v>
      </c>
      <c r="AJ39" s="244" t="b">
        <f t="shared" ca="1" si="26"/>
        <v>1</v>
      </c>
      <c r="AK39" s="244" t="b">
        <f t="shared" ca="1" si="26"/>
        <v>0</v>
      </c>
      <c r="AM39" s="245" t="s">
        <v>113</v>
      </c>
      <c r="AN39" s="246">
        <v>1</v>
      </c>
      <c r="AO39" s="247">
        <v>50</v>
      </c>
      <c r="AP39" s="246">
        <f t="shared" ca="1" si="25"/>
        <v>0</v>
      </c>
      <c r="AQ39" s="246">
        <f t="shared" ca="1" si="25"/>
        <v>0</v>
      </c>
      <c r="AR39" s="246">
        <f t="shared" ca="1" si="25"/>
        <v>0</v>
      </c>
      <c r="AS39" s="246">
        <f t="shared" ca="1" si="25"/>
        <v>0</v>
      </c>
      <c r="AT39" s="246">
        <f t="shared" ca="1" si="25"/>
        <v>0</v>
      </c>
      <c r="AU39" s="246">
        <f t="shared" ca="1" si="25"/>
        <v>0</v>
      </c>
      <c r="AV39" s="246">
        <f t="shared" ca="1" si="25"/>
        <v>0</v>
      </c>
      <c r="AW39" s="246">
        <f t="shared" ca="1" si="25"/>
        <v>0</v>
      </c>
    </row>
    <row r="40" spans="2:49">
      <c r="B40" s="91"/>
      <c r="C40" s="92">
        <f t="shared" si="9"/>
        <v>36</v>
      </c>
      <c r="D40" s="93">
        <v>15151690</v>
      </c>
      <c r="E40" s="93">
        <f t="shared" si="0"/>
        <v>2304000</v>
      </c>
      <c r="G40" s="233">
        <v>4</v>
      </c>
      <c r="H40" s="233">
        <v>50</v>
      </c>
      <c r="I40" s="234">
        <f t="shared" si="19"/>
        <v>67223690</v>
      </c>
      <c r="J40" s="235">
        <f>I40/$N$8</f>
        <v>6722.3689999999997</v>
      </c>
      <c r="K40" s="236">
        <f t="shared" si="20"/>
        <v>6723</v>
      </c>
      <c r="L40" s="237">
        <f t="shared" si="21"/>
        <v>6730</v>
      </c>
      <c r="M40" s="238">
        <f t="shared" si="22"/>
        <v>6730</v>
      </c>
      <c r="N40">
        <f>IF($AM$34&gt;=3,1,0)</f>
        <v>0</v>
      </c>
      <c r="O40" s="239"/>
      <c r="P40" s="240">
        <v>100</v>
      </c>
      <c r="Q40" s="241">
        <f t="shared" ca="1" si="23"/>
        <v>2</v>
      </c>
      <c r="R40" s="241">
        <f t="shared" ca="1" si="23"/>
        <v>3</v>
      </c>
      <c r="S40" s="241">
        <f t="shared" ca="1" si="23"/>
        <v>2</v>
      </c>
      <c r="T40" s="241">
        <f t="shared" ca="1" si="23"/>
        <v>1</v>
      </c>
      <c r="U40" s="241">
        <f t="shared" ca="1" si="23"/>
        <v>3</v>
      </c>
      <c r="V40" s="241">
        <f t="shared" ca="1" si="23"/>
        <v>1</v>
      </c>
      <c r="W40" s="241">
        <f t="shared" ca="1" si="23"/>
        <v>4</v>
      </c>
      <c r="X40" s="241">
        <f t="shared" ca="1" si="23"/>
        <v>2</v>
      </c>
      <c r="Z40" s="248"/>
      <c r="AA40" s="249"/>
      <c r="AB40" s="250">
        <v>4</v>
      </c>
      <c r="AC40" s="251">
        <v>100</v>
      </c>
      <c r="AD40" s="252" t="b">
        <f t="shared" ca="1" si="26"/>
        <v>1</v>
      </c>
      <c r="AE40" s="252" t="b">
        <f t="shared" ca="1" si="26"/>
        <v>1</v>
      </c>
      <c r="AF40" s="252" t="b">
        <f t="shared" ca="1" si="26"/>
        <v>1</v>
      </c>
      <c r="AG40" s="252" t="b">
        <f t="shared" ca="1" si="26"/>
        <v>1</v>
      </c>
      <c r="AH40" s="252" t="b">
        <f t="shared" ca="1" si="26"/>
        <v>1</v>
      </c>
      <c r="AI40" s="252" t="b">
        <f t="shared" ca="1" si="26"/>
        <v>1</v>
      </c>
      <c r="AJ40" s="252" t="b">
        <f t="shared" ca="1" si="26"/>
        <v>0</v>
      </c>
      <c r="AK40" s="252" t="b">
        <f t="shared" ca="1" si="26"/>
        <v>1</v>
      </c>
      <c r="AM40" s="245"/>
      <c r="AN40" s="246">
        <v>2</v>
      </c>
      <c r="AO40" s="247">
        <v>100</v>
      </c>
      <c r="AP40" s="246">
        <f t="shared" ca="1" si="25"/>
        <v>0</v>
      </c>
      <c r="AQ40" s="246">
        <f t="shared" ca="1" si="25"/>
        <v>0</v>
      </c>
      <c r="AR40" s="246">
        <f t="shared" ca="1" si="25"/>
        <v>0</v>
      </c>
      <c r="AS40" s="246">
        <f t="shared" ca="1" si="25"/>
        <v>0</v>
      </c>
      <c r="AT40" s="246">
        <f t="shared" ca="1" si="25"/>
        <v>0</v>
      </c>
      <c r="AU40" s="246">
        <f t="shared" ca="1" si="25"/>
        <v>0</v>
      </c>
      <c r="AV40" s="246">
        <f t="shared" ca="1" si="25"/>
        <v>0</v>
      </c>
      <c r="AW40" s="246">
        <f t="shared" ca="1" si="25"/>
        <v>0</v>
      </c>
    </row>
    <row r="41" spans="2:49">
      <c r="B41" s="91"/>
      <c r="C41" s="92">
        <f t="shared" si="9"/>
        <v>37</v>
      </c>
      <c r="D41" s="93">
        <v>17455690</v>
      </c>
      <c r="E41" s="93">
        <f t="shared" si="0"/>
        <v>2849000</v>
      </c>
      <c r="G41" s="233">
        <v>5</v>
      </c>
      <c r="H41" s="233">
        <v>60</v>
      </c>
      <c r="I41" s="234">
        <f t="shared" si="19"/>
        <v>141287690</v>
      </c>
      <c r="J41" s="235">
        <f>I41/$N$8</f>
        <v>14128.769</v>
      </c>
      <c r="K41" s="236">
        <f t="shared" si="20"/>
        <v>14129</v>
      </c>
      <c r="L41" s="237">
        <f t="shared" si="21"/>
        <v>14130</v>
      </c>
      <c r="M41" s="238">
        <f t="shared" si="22"/>
        <v>14130</v>
      </c>
      <c r="N41">
        <f>IF($AM$34&gt;=4,1,0)</f>
        <v>0</v>
      </c>
      <c r="O41" s="239"/>
      <c r="P41" s="240">
        <v>500</v>
      </c>
      <c r="Q41" s="241">
        <f t="shared" ca="1" si="23"/>
        <v>1</v>
      </c>
      <c r="R41" s="241">
        <f t="shared" ca="1" si="23"/>
        <v>1</v>
      </c>
      <c r="S41" s="241">
        <f t="shared" ca="1" si="23"/>
        <v>1</v>
      </c>
      <c r="T41" s="241">
        <f t="shared" ca="1" si="23"/>
        <v>0</v>
      </c>
      <c r="U41" s="241">
        <f t="shared" ca="1" si="23"/>
        <v>1</v>
      </c>
      <c r="V41" s="241">
        <f t="shared" ca="1" si="23"/>
        <v>0</v>
      </c>
      <c r="W41" s="241">
        <f t="shared" ca="1" si="23"/>
        <v>1</v>
      </c>
      <c r="X41" s="241">
        <f t="shared" ca="1" si="23"/>
        <v>1</v>
      </c>
      <c r="Z41" s="253"/>
      <c r="AA41" s="219"/>
      <c r="AB41" s="254">
        <v>1</v>
      </c>
      <c r="AC41" s="255">
        <v>500</v>
      </c>
      <c r="AD41" s="256" t="b">
        <f t="shared" ca="1" si="26"/>
        <v>0</v>
      </c>
      <c r="AE41" s="256" t="b">
        <f t="shared" ca="1" si="26"/>
        <v>0</v>
      </c>
      <c r="AF41" s="256" t="b">
        <f t="shared" ca="1" si="26"/>
        <v>0</v>
      </c>
      <c r="AG41" s="256" t="b">
        <f t="shared" ca="1" si="26"/>
        <v>1</v>
      </c>
      <c r="AH41" s="257" t="b">
        <f t="shared" ca="1" si="26"/>
        <v>0</v>
      </c>
      <c r="AI41" s="256" t="b">
        <f t="shared" ca="1" si="26"/>
        <v>1</v>
      </c>
      <c r="AJ41" s="256" t="b">
        <f t="shared" ca="1" si="26"/>
        <v>0</v>
      </c>
      <c r="AK41" s="256" t="b">
        <f t="shared" ca="1" si="26"/>
        <v>0</v>
      </c>
      <c r="AM41" s="245"/>
      <c r="AN41" s="246">
        <v>3</v>
      </c>
      <c r="AO41" s="247">
        <v>500</v>
      </c>
      <c r="AP41" s="246">
        <f t="shared" ca="1" si="25"/>
        <v>0</v>
      </c>
      <c r="AQ41" s="246">
        <f t="shared" ca="1" si="25"/>
        <v>0</v>
      </c>
      <c r="AR41" s="246">
        <f t="shared" ca="1" si="25"/>
        <v>0</v>
      </c>
      <c r="AS41" s="246">
        <f t="shared" ca="1" si="25"/>
        <v>0</v>
      </c>
      <c r="AT41" s="246">
        <f t="shared" ca="1" si="25"/>
        <v>0</v>
      </c>
      <c r="AU41" s="246">
        <f t="shared" ca="1" si="25"/>
        <v>0</v>
      </c>
      <c r="AV41" s="246">
        <f t="shared" ca="1" si="25"/>
        <v>0</v>
      </c>
      <c r="AW41" s="246">
        <f t="shared" ca="1" si="25"/>
        <v>0</v>
      </c>
    </row>
    <row r="42" spans="2:49">
      <c r="B42" s="91"/>
      <c r="C42" s="92">
        <f t="shared" si="9"/>
        <v>38</v>
      </c>
      <c r="D42" s="93">
        <v>20304690</v>
      </c>
      <c r="E42" s="93">
        <f t="shared" si="0"/>
        <v>3496000</v>
      </c>
      <c r="G42" s="233">
        <v>6</v>
      </c>
      <c r="H42" s="233">
        <v>70</v>
      </c>
      <c r="I42" s="234">
        <f t="shared" si="19"/>
        <v>278518690</v>
      </c>
      <c r="J42" s="235">
        <f>I42/$N$8</f>
        <v>27851.868999999999</v>
      </c>
      <c r="K42" s="236">
        <f t="shared" si="20"/>
        <v>27852</v>
      </c>
      <c r="L42" s="237">
        <f t="shared" si="21"/>
        <v>27860</v>
      </c>
      <c r="M42" s="238">
        <f t="shared" si="22"/>
        <v>27860</v>
      </c>
      <c r="O42" s="258"/>
      <c r="P42" s="259">
        <v>1000</v>
      </c>
      <c r="Q42" s="260">
        <f t="shared" ca="1" si="23"/>
        <v>0</v>
      </c>
      <c r="R42" s="260">
        <f t="shared" ca="1" si="23"/>
        <v>2</v>
      </c>
      <c r="S42" s="260">
        <f t="shared" ca="1" si="23"/>
        <v>6</v>
      </c>
      <c r="T42" s="260">
        <f t="shared" ca="1" si="23"/>
        <v>14</v>
      </c>
      <c r="U42" s="260">
        <f t="shared" ca="1" si="23"/>
        <v>27</v>
      </c>
      <c r="V42" s="260">
        <f t="shared" ca="1" si="23"/>
        <v>69</v>
      </c>
      <c r="W42" s="260">
        <f t="shared" ca="1" si="23"/>
        <v>208</v>
      </c>
      <c r="X42" s="260">
        <f t="shared" ca="1" si="23"/>
        <v>1047</v>
      </c>
      <c r="Z42" s="202"/>
      <c r="AA42" s="242">
        <f>1/1</f>
        <v>1</v>
      </c>
      <c r="AB42" s="242">
        <v>2</v>
      </c>
      <c r="AC42" s="243">
        <v>50</v>
      </c>
      <c r="AD42" s="244" t="b">
        <f t="shared" ref="AD42:AK44" ca="1" si="27">IF($AM$34&gt;=$AB42,FALSE,AD39)</f>
        <v>0</v>
      </c>
      <c r="AE42" s="244" t="b">
        <f t="shared" ca="1" si="27"/>
        <v>1</v>
      </c>
      <c r="AF42" s="244" t="b">
        <f t="shared" ca="1" si="27"/>
        <v>1</v>
      </c>
      <c r="AG42" s="244" t="b">
        <f t="shared" ca="1" si="27"/>
        <v>1</v>
      </c>
      <c r="AH42" s="244" t="b">
        <f t="shared" ca="1" si="27"/>
        <v>0</v>
      </c>
      <c r="AI42" s="244" t="b">
        <f t="shared" ca="1" si="27"/>
        <v>0</v>
      </c>
      <c r="AJ42" s="244" t="b">
        <f t="shared" ca="1" si="27"/>
        <v>1</v>
      </c>
      <c r="AK42" s="244" t="b">
        <f t="shared" ca="1" si="27"/>
        <v>0</v>
      </c>
      <c r="AM42" s="214"/>
      <c r="AN42" s="261">
        <v>4</v>
      </c>
      <c r="AO42" s="262">
        <v>1000</v>
      </c>
      <c r="AP42" s="261">
        <f t="shared" ca="1" si="25"/>
        <v>0</v>
      </c>
      <c r="AQ42" s="261">
        <f t="shared" ca="1" si="25"/>
        <v>0</v>
      </c>
      <c r="AR42" s="261">
        <f t="shared" ca="1" si="25"/>
        <v>0</v>
      </c>
      <c r="AS42" s="261">
        <f t="shared" ca="1" si="25"/>
        <v>0</v>
      </c>
      <c r="AT42" s="261">
        <f t="shared" ca="1" si="25"/>
        <v>0</v>
      </c>
      <c r="AU42" s="261">
        <f t="shared" ca="1" si="25"/>
        <v>0</v>
      </c>
      <c r="AV42" s="261">
        <f t="shared" ca="1" si="25"/>
        <v>0</v>
      </c>
      <c r="AW42" s="261">
        <f t="shared" ca="1" si="25"/>
        <v>0</v>
      </c>
    </row>
    <row r="43" spans="2:49">
      <c r="B43" s="91"/>
      <c r="C43" s="92">
        <f t="shared" si="9"/>
        <v>39</v>
      </c>
      <c r="D43" s="93">
        <v>23800690</v>
      </c>
      <c r="E43" s="93">
        <f t="shared" si="0"/>
        <v>4251000</v>
      </c>
      <c r="G43" s="233">
        <v>7</v>
      </c>
      <c r="H43" s="233">
        <v>80</v>
      </c>
      <c r="I43" s="234">
        <f t="shared" si="19"/>
        <v>691415926</v>
      </c>
      <c r="J43" s="235">
        <f>I43/$N$8</f>
        <v>69141.592600000004</v>
      </c>
      <c r="K43" s="236">
        <f t="shared" si="20"/>
        <v>69142</v>
      </c>
      <c r="L43" s="237">
        <f t="shared" si="21"/>
        <v>69150</v>
      </c>
      <c r="M43" s="238">
        <f t="shared" si="22"/>
        <v>69150</v>
      </c>
      <c r="O43" s="202" t="s">
        <v>114</v>
      </c>
      <c r="P43" s="231">
        <v>10</v>
      </c>
      <c r="Q43" s="263">
        <f t="shared" ref="Q43:X47" ca="1" si="28">MOD(Q44,$P43)</f>
        <v>0</v>
      </c>
      <c r="R43" s="263">
        <f t="shared" ca="1" si="28"/>
        <v>0</v>
      </c>
      <c r="S43" s="263">
        <f t="shared" ca="1" si="28"/>
        <v>0</v>
      </c>
      <c r="T43" s="263">
        <f t="shared" ca="1" si="28"/>
        <v>0</v>
      </c>
      <c r="U43" s="263">
        <f t="shared" ca="1" si="28"/>
        <v>0</v>
      </c>
      <c r="V43" s="263">
        <f t="shared" ca="1" si="28"/>
        <v>0</v>
      </c>
      <c r="W43" s="263">
        <f t="shared" ca="1" si="28"/>
        <v>0</v>
      </c>
      <c r="X43" s="263">
        <f t="shared" ca="1" si="28"/>
        <v>0</v>
      </c>
      <c r="Z43" s="245"/>
      <c r="AA43" s="250">
        <f>1/2</f>
        <v>0.5</v>
      </c>
      <c r="AB43" s="250">
        <v>3</v>
      </c>
      <c r="AC43" s="251">
        <v>100</v>
      </c>
      <c r="AD43" s="252" t="b">
        <f t="shared" ca="1" si="27"/>
        <v>1</v>
      </c>
      <c r="AE43" s="252" t="b">
        <f t="shared" ca="1" si="27"/>
        <v>1</v>
      </c>
      <c r="AF43" s="252" t="b">
        <f t="shared" ca="1" si="27"/>
        <v>1</v>
      </c>
      <c r="AG43" s="252" t="b">
        <f t="shared" ca="1" si="27"/>
        <v>1</v>
      </c>
      <c r="AH43" s="252" t="b">
        <f t="shared" ca="1" si="27"/>
        <v>1</v>
      </c>
      <c r="AI43" s="252" t="b">
        <f t="shared" ca="1" si="27"/>
        <v>1</v>
      </c>
      <c r="AJ43" s="252" t="b">
        <f t="shared" ca="1" si="27"/>
        <v>0</v>
      </c>
      <c r="AK43" s="252" t="b">
        <f t="shared" ca="1" si="27"/>
        <v>1</v>
      </c>
    </row>
    <row r="44" spans="2:49" ht="12.75" thickBot="1">
      <c r="B44" s="91">
        <v>3</v>
      </c>
      <c r="C44" s="92">
        <f t="shared" si="9"/>
        <v>40</v>
      </c>
      <c r="D44" s="93">
        <v>28051690</v>
      </c>
      <c r="E44" s="93">
        <f t="shared" si="0"/>
        <v>2160000</v>
      </c>
      <c r="G44" s="233">
        <v>8</v>
      </c>
      <c r="H44" s="233">
        <v>90</v>
      </c>
      <c r="I44" s="234">
        <f t="shared" si="19"/>
        <v>2089229926</v>
      </c>
      <c r="J44" s="235">
        <f>I44/$N$8</f>
        <v>208922.9926</v>
      </c>
      <c r="K44" s="236">
        <f t="shared" si="20"/>
        <v>208923</v>
      </c>
      <c r="L44" s="237">
        <f t="shared" si="21"/>
        <v>208930</v>
      </c>
      <c r="M44" s="238">
        <f t="shared" si="22"/>
        <v>208930</v>
      </c>
      <c r="O44" s="239"/>
      <c r="P44" s="246">
        <v>50</v>
      </c>
      <c r="Q44" s="264">
        <f t="shared" ca="1" si="28"/>
        <v>40</v>
      </c>
      <c r="R44" s="264">
        <f t="shared" ca="1" si="28"/>
        <v>10</v>
      </c>
      <c r="S44" s="264">
        <f t="shared" ca="1" si="28"/>
        <v>30</v>
      </c>
      <c r="T44" s="264">
        <f t="shared" ca="1" si="28"/>
        <v>30</v>
      </c>
      <c r="U44" s="264">
        <f t="shared" ca="1" si="28"/>
        <v>10</v>
      </c>
      <c r="V44" s="264">
        <f t="shared" ca="1" si="28"/>
        <v>0</v>
      </c>
      <c r="W44" s="264">
        <f t="shared" ca="1" si="28"/>
        <v>30</v>
      </c>
      <c r="X44" s="264">
        <f t="shared" ca="1" si="28"/>
        <v>20</v>
      </c>
      <c r="Z44" s="245"/>
      <c r="AA44" s="254">
        <f>1/3</f>
        <v>0.33333333333333331</v>
      </c>
      <c r="AB44" s="254">
        <v>4</v>
      </c>
      <c r="AC44" s="255">
        <v>500</v>
      </c>
      <c r="AD44" s="256" t="b">
        <f t="shared" ca="1" si="27"/>
        <v>0</v>
      </c>
      <c r="AE44" s="256" t="b">
        <f t="shared" ca="1" si="27"/>
        <v>0</v>
      </c>
      <c r="AF44" s="256" t="b">
        <f t="shared" ca="1" si="27"/>
        <v>0</v>
      </c>
      <c r="AG44" s="256" t="b">
        <f t="shared" ca="1" si="27"/>
        <v>1</v>
      </c>
      <c r="AH44" s="256" t="b">
        <f t="shared" ca="1" si="27"/>
        <v>0</v>
      </c>
      <c r="AI44" s="256" t="b">
        <f t="shared" ca="1" si="27"/>
        <v>1</v>
      </c>
      <c r="AJ44" s="256" t="b">
        <f t="shared" ca="1" si="27"/>
        <v>0</v>
      </c>
      <c r="AK44" s="256" t="b">
        <f t="shared" ca="1" si="27"/>
        <v>0</v>
      </c>
    </row>
    <row r="45" spans="2:49" ht="12.75" thickBot="1">
      <c r="B45" s="91"/>
      <c r="C45" s="92">
        <f t="shared" si="9"/>
        <v>41</v>
      </c>
      <c r="D45" s="93">
        <v>30211690</v>
      </c>
      <c r="E45" s="93">
        <f t="shared" si="0"/>
        <v>2255000</v>
      </c>
      <c r="G45" s="265" t="s">
        <v>115</v>
      </c>
      <c r="H45" s="266">
        <f>J8</f>
        <v>95</v>
      </c>
      <c r="I45" s="267">
        <f>SUMIF($C$6:$C$104,$H45,$D$6:$D$104)</f>
        <v>10477689858</v>
      </c>
      <c r="J45" s="268">
        <f>I45/$N$8</f>
        <v>1047768.9858</v>
      </c>
      <c r="K45" s="269">
        <f t="shared" si="20"/>
        <v>1047769</v>
      </c>
      <c r="L45" s="270">
        <f t="shared" si="21"/>
        <v>1047770</v>
      </c>
      <c r="M45" s="271">
        <f t="shared" si="22"/>
        <v>1047770</v>
      </c>
      <c r="O45" s="239"/>
      <c r="P45" s="246">
        <v>100</v>
      </c>
      <c r="Q45" s="264">
        <f t="shared" ca="1" si="28"/>
        <v>90</v>
      </c>
      <c r="R45" s="264">
        <f t="shared" ca="1" si="28"/>
        <v>10</v>
      </c>
      <c r="S45" s="264">
        <f t="shared" ca="1" si="28"/>
        <v>30</v>
      </c>
      <c r="T45" s="264">
        <f t="shared" ca="1" si="28"/>
        <v>30</v>
      </c>
      <c r="U45" s="264">
        <f t="shared" ca="1" si="28"/>
        <v>60</v>
      </c>
      <c r="V45" s="264">
        <f t="shared" ca="1" si="28"/>
        <v>50</v>
      </c>
      <c r="W45" s="264">
        <f t="shared" ca="1" si="28"/>
        <v>30</v>
      </c>
      <c r="X45" s="264">
        <f t="shared" ca="1" si="28"/>
        <v>70</v>
      </c>
      <c r="Z45" s="253" t="s">
        <v>116</v>
      </c>
      <c r="AA45" s="206"/>
      <c r="AB45" s="206"/>
      <c r="AC45" s="181"/>
      <c r="AD45" s="229">
        <f t="shared" ref="AD45:AK45" ca="1" si="29">1/MAX(AD42*$AA42,AD43*$AA43,AD44*$AA44,1/4)</f>
        <v>2</v>
      </c>
      <c r="AE45" s="229">
        <f t="shared" ca="1" si="29"/>
        <v>1</v>
      </c>
      <c r="AF45" s="229">
        <f t="shared" ca="1" si="29"/>
        <v>1</v>
      </c>
      <c r="AG45" s="229">
        <f t="shared" ca="1" si="29"/>
        <v>1</v>
      </c>
      <c r="AH45" s="229">
        <f t="shared" ca="1" si="29"/>
        <v>2</v>
      </c>
      <c r="AI45" s="229">
        <f t="shared" ca="1" si="29"/>
        <v>2</v>
      </c>
      <c r="AJ45" s="229">
        <f t="shared" ca="1" si="29"/>
        <v>1</v>
      </c>
      <c r="AK45" s="229">
        <f t="shared" ca="1" si="29"/>
        <v>2</v>
      </c>
      <c r="AM45" s="230" t="s">
        <v>108</v>
      </c>
      <c r="AN45" s="272">
        <v>1</v>
      </c>
      <c r="AO45" s="273">
        <v>10</v>
      </c>
      <c r="AP45" s="274">
        <f t="shared" ref="AP45:AW48" ca="1" si="30">(Q38+AP38)*AD46</f>
        <v>4</v>
      </c>
      <c r="AQ45" s="274">
        <f t="shared" ca="1" si="30"/>
        <v>1</v>
      </c>
      <c r="AR45" s="274">
        <f t="shared" ca="1" si="30"/>
        <v>3</v>
      </c>
      <c r="AS45" s="274">
        <f t="shared" ca="1" si="30"/>
        <v>3</v>
      </c>
      <c r="AT45" s="274">
        <f t="shared" ca="1" si="30"/>
        <v>1</v>
      </c>
      <c r="AU45" s="274">
        <f t="shared" ca="1" si="30"/>
        <v>0</v>
      </c>
      <c r="AV45" s="274">
        <f t="shared" ca="1" si="30"/>
        <v>3</v>
      </c>
      <c r="AW45" s="275">
        <f t="shared" ca="1" si="30"/>
        <v>2</v>
      </c>
    </row>
    <row r="46" spans="2:49">
      <c r="B46" s="91"/>
      <c r="C46" s="92">
        <f t="shared" si="9"/>
        <v>42</v>
      </c>
      <c r="D46" s="93">
        <v>32466690</v>
      </c>
      <c r="E46" s="93">
        <f t="shared" si="0"/>
        <v>2436000</v>
      </c>
      <c r="G46" s="76"/>
      <c r="O46" s="239"/>
      <c r="P46" s="246">
        <v>500</v>
      </c>
      <c r="Q46" s="264">
        <f t="shared" ca="1" si="28"/>
        <v>290</v>
      </c>
      <c r="R46" s="264">
        <f t="shared" ca="1" si="28"/>
        <v>310</v>
      </c>
      <c r="S46" s="264">
        <f t="shared" ca="1" si="28"/>
        <v>230</v>
      </c>
      <c r="T46" s="264">
        <f t="shared" ca="1" si="28"/>
        <v>130</v>
      </c>
      <c r="U46" s="264">
        <f t="shared" ca="1" si="28"/>
        <v>360</v>
      </c>
      <c r="V46" s="264">
        <f t="shared" ca="1" si="28"/>
        <v>150</v>
      </c>
      <c r="W46" s="264">
        <f t="shared" ca="1" si="28"/>
        <v>430</v>
      </c>
      <c r="X46" s="264">
        <f t="shared" ca="1" si="28"/>
        <v>270</v>
      </c>
      <c r="Z46" s="205" t="s">
        <v>117</v>
      </c>
      <c r="AA46" s="208"/>
      <c r="AB46" s="242">
        <v>1</v>
      </c>
      <c r="AC46" s="243">
        <v>10</v>
      </c>
      <c r="AD46" s="244" t="b">
        <f t="shared" ref="AD46:AK49" ca="1" si="31">IF(AND(AD$38=1,AD$45&gt;=$AB46),FALSE,TRUE)</f>
        <v>1</v>
      </c>
      <c r="AE46" s="244" t="b">
        <f t="shared" ca="1" si="31"/>
        <v>1</v>
      </c>
      <c r="AF46" s="244" t="b">
        <f t="shared" ca="1" si="31"/>
        <v>1</v>
      </c>
      <c r="AG46" s="244" t="b">
        <f t="shared" ca="1" si="31"/>
        <v>1</v>
      </c>
      <c r="AH46" s="244" t="b">
        <f t="shared" ca="1" si="31"/>
        <v>1</v>
      </c>
      <c r="AI46" s="244" t="b">
        <f t="shared" ca="1" si="31"/>
        <v>1</v>
      </c>
      <c r="AJ46" s="244" t="b">
        <f t="shared" ca="1" si="31"/>
        <v>1</v>
      </c>
      <c r="AK46" s="244" t="b">
        <f t="shared" ca="1" si="31"/>
        <v>1</v>
      </c>
      <c r="AM46" s="245"/>
      <c r="AN46" s="276">
        <v>2</v>
      </c>
      <c r="AO46" s="277">
        <v>50</v>
      </c>
      <c r="AP46" s="278">
        <f t="shared" ca="1" si="30"/>
        <v>1</v>
      </c>
      <c r="AQ46" s="278">
        <f t="shared" ca="1" si="30"/>
        <v>0</v>
      </c>
      <c r="AR46" s="278">
        <f t="shared" ca="1" si="30"/>
        <v>0</v>
      </c>
      <c r="AS46" s="278">
        <f t="shared" ca="1" si="30"/>
        <v>0</v>
      </c>
      <c r="AT46" s="278">
        <f t="shared" ca="1" si="30"/>
        <v>1</v>
      </c>
      <c r="AU46" s="278">
        <f t="shared" ca="1" si="30"/>
        <v>1</v>
      </c>
      <c r="AV46" s="278">
        <f t="shared" ca="1" si="30"/>
        <v>0</v>
      </c>
      <c r="AW46" s="279">
        <f t="shared" ca="1" si="30"/>
        <v>1</v>
      </c>
    </row>
    <row r="47" spans="2:49">
      <c r="B47" s="91"/>
      <c r="C47" s="92">
        <f t="shared" si="9"/>
        <v>43</v>
      </c>
      <c r="D47" s="93">
        <v>34902690</v>
      </c>
      <c r="E47" s="93">
        <f t="shared" si="0"/>
        <v>2709000</v>
      </c>
      <c r="G47" s="76"/>
      <c r="O47" s="258"/>
      <c r="P47" s="261">
        <v>1000</v>
      </c>
      <c r="Q47" s="280">
        <f t="shared" ca="1" si="28"/>
        <v>790</v>
      </c>
      <c r="R47" s="280">
        <f t="shared" ca="1" si="28"/>
        <v>810</v>
      </c>
      <c r="S47" s="280">
        <f t="shared" ca="1" si="28"/>
        <v>730</v>
      </c>
      <c r="T47" s="280">
        <f t="shared" ca="1" si="28"/>
        <v>130</v>
      </c>
      <c r="U47" s="280">
        <f t="shared" ca="1" si="28"/>
        <v>860</v>
      </c>
      <c r="V47" s="280">
        <f t="shared" ca="1" si="28"/>
        <v>150</v>
      </c>
      <c r="W47" s="280">
        <f t="shared" ca="1" si="28"/>
        <v>930</v>
      </c>
      <c r="X47" s="280">
        <f t="shared" ca="1" si="28"/>
        <v>770</v>
      </c>
      <c r="Z47" s="248"/>
      <c r="AA47" s="249"/>
      <c r="AB47" s="250">
        <v>2</v>
      </c>
      <c r="AC47" s="251">
        <v>50</v>
      </c>
      <c r="AD47" s="252" t="b">
        <f t="shared" ca="1" si="31"/>
        <v>1</v>
      </c>
      <c r="AE47" s="252" t="b">
        <f t="shared" ca="1" si="31"/>
        <v>1</v>
      </c>
      <c r="AF47" s="252" t="b">
        <f t="shared" ca="1" si="31"/>
        <v>1</v>
      </c>
      <c r="AG47" s="252" t="b">
        <f t="shared" ca="1" si="31"/>
        <v>1</v>
      </c>
      <c r="AH47" s="252" t="b">
        <f t="shared" ca="1" si="31"/>
        <v>1</v>
      </c>
      <c r="AI47" s="252" t="b">
        <f t="shared" ca="1" si="31"/>
        <v>1</v>
      </c>
      <c r="AJ47" s="252" t="b">
        <f t="shared" ca="1" si="31"/>
        <v>1</v>
      </c>
      <c r="AK47" s="252" t="b">
        <f t="shared" ca="1" si="31"/>
        <v>1</v>
      </c>
      <c r="AM47" s="245"/>
      <c r="AN47" s="276">
        <v>3</v>
      </c>
      <c r="AO47" s="277">
        <v>100</v>
      </c>
      <c r="AP47" s="278">
        <f t="shared" ca="1" si="30"/>
        <v>2</v>
      </c>
      <c r="AQ47" s="278">
        <f t="shared" ca="1" si="30"/>
        <v>3</v>
      </c>
      <c r="AR47" s="278">
        <f t="shared" ca="1" si="30"/>
        <v>2</v>
      </c>
      <c r="AS47" s="278">
        <f t="shared" ca="1" si="30"/>
        <v>1</v>
      </c>
      <c r="AT47" s="278">
        <f t="shared" ca="1" si="30"/>
        <v>3</v>
      </c>
      <c r="AU47" s="278">
        <f t="shared" ca="1" si="30"/>
        <v>1</v>
      </c>
      <c r="AV47" s="278">
        <f t="shared" ca="1" si="30"/>
        <v>4</v>
      </c>
      <c r="AW47" s="279">
        <f t="shared" ca="1" si="30"/>
        <v>2</v>
      </c>
    </row>
    <row r="48" spans="2:49">
      <c r="B48" s="91"/>
      <c r="C48" s="92">
        <f t="shared" si="9"/>
        <v>44</v>
      </c>
      <c r="D48" s="93">
        <v>37611690</v>
      </c>
      <c r="E48" s="93">
        <f t="shared" si="0"/>
        <v>3080000</v>
      </c>
      <c r="G48" s="76"/>
      <c r="O48" s="281" t="s">
        <v>118</v>
      </c>
      <c r="P48" s="281"/>
      <c r="Q48" s="282">
        <f t="shared" ref="Q48:X48" ca="1" si="32">OFFSET($L$37,Q$18,0)</f>
        <v>790</v>
      </c>
      <c r="R48" s="282">
        <f t="shared" ca="1" si="32"/>
        <v>2810</v>
      </c>
      <c r="S48" s="282">
        <f t="shared" ca="1" si="32"/>
        <v>6730</v>
      </c>
      <c r="T48" s="282">
        <f t="shared" ca="1" si="32"/>
        <v>14130</v>
      </c>
      <c r="U48" s="282">
        <f t="shared" ca="1" si="32"/>
        <v>27860</v>
      </c>
      <c r="V48" s="282">
        <f t="shared" ca="1" si="32"/>
        <v>69150</v>
      </c>
      <c r="W48" s="282">
        <f t="shared" ca="1" si="32"/>
        <v>208930</v>
      </c>
      <c r="X48" s="282">
        <f t="shared" ca="1" si="32"/>
        <v>1047770</v>
      </c>
      <c r="Y48" s="283"/>
      <c r="Z48" s="248"/>
      <c r="AA48" s="249"/>
      <c r="AB48" s="250">
        <v>3</v>
      </c>
      <c r="AC48" s="251">
        <v>100</v>
      </c>
      <c r="AD48" s="252" t="b">
        <f t="shared" ca="1" si="31"/>
        <v>1</v>
      </c>
      <c r="AE48" s="252" t="b">
        <f t="shared" ca="1" si="31"/>
        <v>1</v>
      </c>
      <c r="AF48" s="252" t="b">
        <f t="shared" ca="1" si="31"/>
        <v>1</v>
      </c>
      <c r="AG48" s="252" t="b">
        <f t="shared" ca="1" si="31"/>
        <v>1</v>
      </c>
      <c r="AH48" s="252" t="b">
        <f t="shared" ca="1" si="31"/>
        <v>1</v>
      </c>
      <c r="AI48" s="252" t="b">
        <f t="shared" ca="1" si="31"/>
        <v>1</v>
      </c>
      <c r="AJ48" s="252" t="b">
        <f t="shared" ca="1" si="31"/>
        <v>1</v>
      </c>
      <c r="AK48" s="252" t="b">
        <f t="shared" ca="1" si="31"/>
        <v>1</v>
      </c>
      <c r="AM48" s="245"/>
      <c r="AN48" s="276">
        <v>4</v>
      </c>
      <c r="AO48" s="277">
        <v>500</v>
      </c>
      <c r="AP48" s="278">
        <f t="shared" ca="1" si="30"/>
        <v>1</v>
      </c>
      <c r="AQ48" s="278">
        <f t="shared" ca="1" si="30"/>
        <v>1</v>
      </c>
      <c r="AR48" s="278">
        <f t="shared" ca="1" si="30"/>
        <v>1</v>
      </c>
      <c r="AS48" s="278">
        <f t="shared" ca="1" si="30"/>
        <v>0</v>
      </c>
      <c r="AT48" s="278">
        <f t="shared" ca="1" si="30"/>
        <v>1</v>
      </c>
      <c r="AU48" s="278">
        <f t="shared" ca="1" si="30"/>
        <v>0</v>
      </c>
      <c r="AV48" s="278">
        <f t="shared" ca="1" si="30"/>
        <v>1</v>
      </c>
      <c r="AW48" s="279">
        <f t="shared" ca="1" si="30"/>
        <v>1</v>
      </c>
    </row>
    <row r="49" spans="2:49" ht="12.75" thickBot="1">
      <c r="B49" s="91"/>
      <c r="C49" s="92">
        <f t="shared" si="9"/>
        <v>45</v>
      </c>
      <c r="D49" s="93">
        <v>40691690</v>
      </c>
      <c r="E49" s="93">
        <f t="shared" si="0"/>
        <v>3452000</v>
      </c>
      <c r="O49" s="281" t="s">
        <v>119</v>
      </c>
      <c r="P49" s="281"/>
      <c r="Q49" s="282">
        <f t="shared" ref="Q49:X49" ca="1" si="33">OFFSET($M$37,Q$18,0)</f>
        <v>790</v>
      </c>
      <c r="R49" s="282">
        <f t="shared" ca="1" si="33"/>
        <v>2810</v>
      </c>
      <c r="S49" s="282">
        <f t="shared" ca="1" si="33"/>
        <v>6730</v>
      </c>
      <c r="T49" s="282">
        <f t="shared" ca="1" si="33"/>
        <v>14130</v>
      </c>
      <c r="U49" s="282">
        <f t="shared" ca="1" si="33"/>
        <v>27860</v>
      </c>
      <c r="V49" s="282">
        <f t="shared" ca="1" si="33"/>
        <v>69150</v>
      </c>
      <c r="W49" s="282">
        <f t="shared" ca="1" si="33"/>
        <v>208930</v>
      </c>
      <c r="X49" s="282">
        <f t="shared" ca="1" si="33"/>
        <v>1047770</v>
      </c>
      <c r="Y49" s="283"/>
      <c r="Z49" s="253"/>
      <c r="AA49" s="219"/>
      <c r="AB49" s="254">
        <v>4</v>
      </c>
      <c r="AC49" s="255">
        <v>500</v>
      </c>
      <c r="AD49" s="256" t="b">
        <f t="shared" ca="1" si="31"/>
        <v>1</v>
      </c>
      <c r="AE49" s="256" t="b">
        <f t="shared" ca="1" si="31"/>
        <v>1</v>
      </c>
      <c r="AF49" s="256" t="b">
        <f t="shared" ca="1" si="31"/>
        <v>1</v>
      </c>
      <c r="AG49" s="256" t="b">
        <f t="shared" ca="1" si="31"/>
        <v>1</v>
      </c>
      <c r="AH49" s="256" t="b">
        <f t="shared" ca="1" si="31"/>
        <v>1</v>
      </c>
      <c r="AI49" s="256" t="b">
        <f t="shared" ca="1" si="31"/>
        <v>1</v>
      </c>
      <c r="AJ49" s="256" t="b">
        <f t="shared" ca="1" si="31"/>
        <v>1</v>
      </c>
      <c r="AK49" s="256" t="b">
        <f t="shared" ca="1" si="31"/>
        <v>1</v>
      </c>
      <c r="AM49" s="214"/>
      <c r="AN49" s="284">
        <v>5</v>
      </c>
      <c r="AO49" s="285">
        <v>1000</v>
      </c>
      <c r="AP49" s="286">
        <f t="shared" ref="AP49:AW49" ca="1" si="34">(Q42+AP42)</f>
        <v>0</v>
      </c>
      <c r="AQ49" s="286">
        <f t="shared" ca="1" si="34"/>
        <v>2</v>
      </c>
      <c r="AR49" s="286">
        <f t="shared" ca="1" si="34"/>
        <v>6</v>
      </c>
      <c r="AS49" s="286">
        <f t="shared" ca="1" si="34"/>
        <v>14</v>
      </c>
      <c r="AT49" s="286">
        <f t="shared" ca="1" si="34"/>
        <v>27</v>
      </c>
      <c r="AU49" s="286">
        <f t="shared" ca="1" si="34"/>
        <v>69</v>
      </c>
      <c r="AV49" s="286">
        <f t="shared" ca="1" si="34"/>
        <v>208</v>
      </c>
      <c r="AW49" s="287">
        <f t="shared" ca="1" si="34"/>
        <v>1047</v>
      </c>
    </row>
    <row r="50" spans="2:49">
      <c r="B50" s="91"/>
      <c r="C50" s="92">
        <f t="shared" si="9"/>
        <v>46</v>
      </c>
      <c r="D50" s="93">
        <v>44143690</v>
      </c>
      <c r="E50" s="93">
        <f t="shared" si="0"/>
        <v>4127000</v>
      </c>
    </row>
    <row r="51" spans="2:49">
      <c r="B51" s="91"/>
      <c r="C51" s="92">
        <f t="shared" si="9"/>
        <v>47</v>
      </c>
      <c r="D51" s="93">
        <v>48270690</v>
      </c>
      <c r="E51" s="93">
        <f t="shared" si="0"/>
        <v>5072000</v>
      </c>
    </row>
    <row r="52" spans="2:49">
      <c r="B52" s="91"/>
      <c r="C52" s="92">
        <f t="shared" si="9"/>
        <v>48</v>
      </c>
      <c r="D52" s="93">
        <v>53342690</v>
      </c>
      <c r="E52" s="93">
        <f t="shared" si="0"/>
        <v>6241000</v>
      </c>
    </row>
    <row r="53" spans="2:49">
      <c r="B53" s="91"/>
      <c r="C53" s="92">
        <f t="shared" si="9"/>
        <v>49</v>
      </c>
      <c r="D53" s="93">
        <v>59583690</v>
      </c>
      <c r="E53" s="93">
        <f t="shared" si="0"/>
        <v>7640000</v>
      </c>
    </row>
    <row r="54" spans="2:49">
      <c r="B54" s="91">
        <v>4</v>
      </c>
      <c r="C54" s="92">
        <f t="shared" si="9"/>
        <v>50</v>
      </c>
      <c r="D54" s="93">
        <v>67223690</v>
      </c>
      <c r="E54" s="93">
        <f t="shared" si="0"/>
        <v>4115000</v>
      </c>
      <c r="G54" s="76"/>
    </row>
    <row r="55" spans="2:49">
      <c r="B55" s="91"/>
      <c r="C55" s="92">
        <f t="shared" si="9"/>
        <v>51</v>
      </c>
      <c r="D55" s="93">
        <v>71338690</v>
      </c>
      <c r="E55" s="93">
        <f t="shared" si="0"/>
        <v>4401000</v>
      </c>
      <c r="G55" s="76"/>
    </row>
    <row r="56" spans="2:49">
      <c r="B56" s="91"/>
      <c r="C56" s="92">
        <f t="shared" si="9"/>
        <v>52</v>
      </c>
      <c r="D56" s="93">
        <v>75739690</v>
      </c>
      <c r="E56" s="93">
        <f t="shared" si="0"/>
        <v>4803000</v>
      </c>
      <c r="G56" s="76"/>
    </row>
    <row r="57" spans="2:49">
      <c r="B57" s="91"/>
      <c r="C57" s="92">
        <f t="shared" si="9"/>
        <v>53</v>
      </c>
      <c r="D57" s="93">
        <v>80542690</v>
      </c>
      <c r="E57" s="93">
        <f t="shared" si="0"/>
        <v>5353000</v>
      </c>
      <c r="G57" s="76"/>
    </row>
    <row r="58" spans="2:49">
      <c r="B58" s="91"/>
      <c r="C58" s="92">
        <f t="shared" si="9"/>
        <v>54</v>
      </c>
      <c r="D58" s="93">
        <v>85895690</v>
      </c>
      <c r="E58" s="93">
        <f t="shared" si="0"/>
        <v>6015000</v>
      </c>
      <c r="G58" s="76"/>
    </row>
    <row r="59" spans="2:49">
      <c r="B59" s="91"/>
      <c r="C59" s="92">
        <f t="shared" si="9"/>
        <v>55</v>
      </c>
      <c r="D59" s="93">
        <v>91910690</v>
      </c>
      <c r="E59" s="93">
        <f t="shared" si="0"/>
        <v>6892000</v>
      </c>
      <c r="G59" s="76"/>
    </row>
    <row r="60" spans="2:49">
      <c r="B60" s="91"/>
      <c r="C60" s="92">
        <f t="shared" si="9"/>
        <v>56</v>
      </c>
      <c r="D60" s="93">
        <v>98802690</v>
      </c>
      <c r="E60" s="93">
        <f t="shared" si="0"/>
        <v>7900000</v>
      </c>
      <c r="G60" s="76"/>
    </row>
    <row r="61" spans="2:49">
      <c r="B61" s="91"/>
      <c r="C61" s="92">
        <f t="shared" si="9"/>
        <v>57</v>
      </c>
      <c r="D61" s="93">
        <v>106702690</v>
      </c>
      <c r="E61" s="93">
        <f t="shared" si="0"/>
        <v>9308000</v>
      </c>
      <c r="G61" s="76"/>
    </row>
    <row r="62" spans="2:49">
      <c r="B62" s="91"/>
      <c r="C62" s="92">
        <f t="shared" si="9"/>
        <v>58</v>
      </c>
      <c r="D62" s="93">
        <v>116010690</v>
      </c>
      <c r="E62" s="93">
        <f t="shared" si="0"/>
        <v>11220000</v>
      </c>
      <c r="G62" s="76"/>
    </row>
    <row r="63" spans="2:49">
      <c r="B63" s="91"/>
      <c r="C63" s="92">
        <f t="shared" si="9"/>
        <v>59</v>
      </c>
      <c r="D63" s="93">
        <v>127230690</v>
      </c>
      <c r="E63" s="93">
        <f t="shared" si="0"/>
        <v>14057000</v>
      </c>
      <c r="G63" s="76"/>
      <c r="H63" s="76"/>
    </row>
    <row r="64" spans="2:49">
      <c r="B64" s="91">
        <v>5</v>
      </c>
      <c r="C64" s="92">
        <f t="shared" si="9"/>
        <v>60</v>
      </c>
      <c r="D64" s="93">
        <v>141287690</v>
      </c>
      <c r="E64" s="93">
        <f t="shared" si="0"/>
        <v>8122000</v>
      </c>
      <c r="G64" s="76"/>
    </row>
    <row r="65" spans="2:8">
      <c r="B65" s="91"/>
      <c r="C65" s="92">
        <f t="shared" si="9"/>
        <v>61</v>
      </c>
      <c r="D65" s="93">
        <v>149409690</v>
      </c>
      <c r="E65" s="93">
        <f t="shared" si="0"/>
        <v>8538000</v>
      </c>
      <c r="G65" s="76"/>
    </row>
    <row r="66" spans="2:8">
      <c r="B66" s="91"/>
      <c r="C66" s="92">
        <f t="shared" si="9"/>
        <v>62</v>
      </c>
      <c r="D66" s="93">
        <v>157947690</v>
      </c>
      <c r="E66" s="93">
        <f t="shared" si="0"/>
        <v>9247000</v>
      </c>
      <c r="G66" s="76"/>
    </row>
    <row r="67" spans="2:8">
      <c r="B67" s="91"/>
      <c r="C67" s="92">
        <f t="shared" si="9"/>
        <v>63</v>
      </c>
      <c r="D67" s="93">
        <v>167194690</v>
      </c>
      <c r="E67" s="93">
        <f t="shared" si="0"/>
        <v>10101000</v>
      </c>
      <c r="G67" s="76"/>
    </row>
    <row r="68" spans="2:8">
      <c r="B68" s="91"/>
      <c r="C68" s="92">
        <f t="shared" si="9"/>
        <v>64</v>
      </c>
      <c r="D68" s="93">
        <v>177295690</v>
      </c>
      <c r="E68" s="93">
        <f t="shared" si="0"/>
        <v>11203000</v>
      </c>
      <c r="G68" s="76"/>
    </row>
    <row r="69" spans="2:8">
      <c r="B69" s="91"/>
      <c r="C69" s="92">
        <f t="shared" si="9"/>
        <v>65</v>
      </c>
      <c r="D69" s="93">
        <v>188498690</v>
      </c>
      <c r="E69" s="93">
        <f t="shared" ref="E69:E102" si="35">D70-D69</f>
        <v>12400000</v>
      </c>
      <c r="G69" s="76"/>
    </row>
    <row r="70" spans="2:8">
      <c r="B70" s="91"/>
      <c r="C70" s="92">
        <f t="shared" si="9"/>
        <v>66</v>
      </c>
      <c r="D70" s="93">
        <v>200898690</v>
      </c>
      <c r="E70" s="93">
        <f t="shared" si="35"/>
        <v>14382000</v>
      </c>
      <c r="G70" s="76"/>
    </row>
    <row r="71" spans="2:8">
      <c r="B71" s="91"/>
      <c r="C71" s="92">
        <f t="shared" si="9"/>
        <v>67</v>
      </c>
      <c r="D71" s="93">
        <v>215280690</v>
      </c>
      <c r="E71" s="93">
        <f t="shared" si="35"/>
        <v>17194000</v>
      </c>
      <c r="G71" s="76"/>
    </row>
    <row r="72" spans="2:8">
      <c r="B72" s="91"/>
      <c r="C72" s="92">
        <f t="shared" si="9"/>
        <v>68</v>
      </c>
      <c r="D72" s="93">
        <v>232474690</v>
      </c>
      <c r="E72" s="93">
        <f t="shared" si="35"/>
        <v>20444000</v>
      </c>
      <c r="G72" s="76"/>
    </row>
    <row r="73" spans="2:8">
      <c r="B73" s="91"/>
      <c r="C73" s="92">
        <f t="shared" si="9"/>
        <v>69</v>
      </c>
      <c r="D73" s="93">
        <v>252918690</v>
      </c>
      <c r="E73" s="93">
        <f t="shared" si="35"/>
        <v>25600000</v>
      </c>
      <c r="G73" s="76"/>
    </row>
    <row r="74" spans="2:8">
      <c r="B74" s="91">
        <v>6</v>
      </c>
      <c r="C74" s="92">
        <f t="shared" si="9"/>
        <v>70</v>
      </c>
      <c r="D74" s="93">
        <v>278518690</v>
      </c>
      <c r="E74" s="93">
        <f t="shared" si="35"/>
        <v>21400314</v>
      </c>
      <c r="G74" s="76"/>
    </row>
    <row r="75" spans="2:8">
      <c r="B75" s="91"/>
      <c r="C75" s="92">
        <f t="shared" si="9"/>
        <v>71</v>
      </c>
      <c r="D75" s="93">
        <v>299919004</v>
      </c>
      <c r="E75" s="93">
        <f t="shared" si="35"/>
        <v>23239696</v>
      </c>
      <c r="G75" s="76"/>
    </row>
    <row r="76" spans="2:8">
      <c r="B76" s="91"/>
      <c r="C76" s="92">
        <f t="shared" si="9"/>
        <v>72</v>
      </c>
      <c r="D76" s="93">
        <v>323158700</v>
      </c>
      <c r="E76" s="93">
        <f t="shared" si="35"/>
        <v>24691100</v>
      </c>
      <c r="G76" s="76"/>
      <c r="H76" s="76"/>
    </row>
    <row r="77" spans="2:8">
      <c r="B77" s="91"/>
      <c r="C77" s="92">
        <f t="shared" si="9"/>
        <v>73</v>
      </c>
      <c r="D77" s="93">
        <v>347849800</v>
      </c>
      <c r="E77" s="93">
        <f t="shared" si="35"/>
        <v>27213000</v>
      </c>
      <c r="G77" s="76"/>
      <c r="H77" s="76"/>
    </row>
    <row r="78" spans="2:8">
      <c r="B78" s="91"/>
      <c r="C78" s="92">
        <f t="shared" si="9"/>
        <v>74</v>
      </c>
      <c r="D78" s="93">
        <v>375062800</v>
      </c>
      <c r="E78" s="93">
        <f t="shared" si="35"/>
        <v>31415926</v>
      </c>
      <c r="G78" s="76"/>
      <c r="H78" s="76"/>
    </row>
    <row r="79" spans="2:8">
      <c r="B79" s="91"/>
      <c r="C79" s="92">
        <f t="shared" si="9"/>
        <v>75</v>
      </c>
      <c r="D79" s="93">
        <v>406478726</v>
      </c>
      <c r="E79" s="93">
        <f t="shared" si="35"/>
        <v>37564000</v>
      </c>
      <c r="G79" s="76"/>
      <c r="H79" s="76"/>
    </row>
    <row r="80" spans="2:8">
      <c r="B80" s="91"/>
      <c r="C80" s="92">
        <f t="shared" si="9"/>
        <v>76</v>
      </c>
      <c r="D80" s="93">
        <v>444042726</v>
      </c>
      <c r="E80" s="93">
        <f t="shared" si="35"/>
        <v>46490000</v>
      </c>
      <c r="G80" s="76"/>
      <c r="H80" s="76"/>
    </row>
    <row r="81" spans="2:8">
      <c r="B81" s="91"/>
      <c r="C81" s="92">
        <f t="shared" si="9"/>
        <v>77</v>
      </c>
      <c r="D81" s="93">
        <v>490532726</v>
      </c>
      <c r="E81" s="93">
        <f t="shared" si="35"/>
        <v>55500000</v>
      </c>
      <c r="G81" s="76"/>
      <c r="H81" s="76"/>
    </row>
    <row r="82" spans="2:8">
      <c r="B82" s="91"/>
      <c r="C82" s="92">
        <f t="shared" si="9"/>
        <v>78</v>
      </c>
      <c r="D82" s="93">
        <v>546032726</v>
      </c>
      <c r="E82" s="93">
        <f t="shared" si="35"/>
        <v>66600000</v>
      </c>
      <c r="G82" s="76"/>
      <c r="H82" s="76"/>
    </row>
    <row r="83" spans="2:8">
      <c r="B83" s="91"/>
      <c r="C83" s="92">
        <f t="shared" si="9"/>
        <v>79</v>
      </c>
      <c r="D83" s="93">
        <v>612632726</v>
      </c>
      <c r="E83" s="93">
        <f t="shared" si="35"/>
        <v>78783200</v>
      </c>
      <c r="G83" s="76"/>
      <c r="H83" s="76"/>
    </row>
    <row r="84" spans="2:8">
      <c r="B84" s="91">
        <v>7</v>
      </c>
      <c r="C84" s="92">
        <f t="shared" si="9"/>
        <v>80</v>
      </c>
      <c r="D84" s="93">
        <v>691415926</v>
      </c>
      <c r="E84" s="93">
        <f t="shared" si="35"/>
        <v>76300000</v>
      </c>
      <c r="G84" s="76"/>
      <c r="H84" s="76"/>
    </row>
    <row r="85" spans="2:8">
      <c r="B85" s="91"/>
      <c r="C85" s="92">
        <f t="shared" si="9"/>
        <v>81</v>
      </c>
      <c r="D85" s="93">
        <v>767715926</v>
      </c>
      <c r="E85" s="93">
        <f t="shared" si="35"/>
        <v>78364000</v>
      </c>
      <c r="G85" s="76"/>
      <c r="H85" s="76"/>
    </row>
    <row r="86" spans="2:8">
      <c r="B86" s="91"/>
      <c r="C86" s="92">
        <f t="shared" si="9"/>
        <v>82</v>
      </c>
      <c r="D86" s="93">
        <v>846079926</v>
      </c>
      <c r="E86" s="93">
        <f t="shared" si="35"/>
        <v>81310000</v>
      </c>
      <c r="G86" s="76"/>
      <c r="H86" s="76"/>
    </row>
    <row r="87" spans="2:8">
      <c r="B87" s="91"/>
      <c r="C87" s="92">
        <f t="shared" si="9"/>
        <v>83</v>
      </c>
      <c r="D87" s="93">
        <v>927389926</v>
      </c>
      <c r="E87" s="93">
        <f t="shared" si="35"/>
        <v>85100000</v>
      </c>
      <c r="G87" s="76"/>
      <c r="H87" s="76"/>
    </row>
    <row r="88" spans="2:8">
      <c r="B88" s="91"/>
      <c r="C88" s="92">
        <f t="shared" si="9"/>
        <v>84</v>
      </c>
      <c r="D88" s="93">
        <v>1012489926</v>
      </c>
      <c r="E88" s="93">
        <f t="shared" si="35"/>
        <v>89290000</v>
      </c>
      <c r="G88" s="76"/>
      <c r="H88" s="76"/>
    </row>
    <row r="89" spans="2:8">
      <c r="B89" s="91"/>
      <c r="C89" s="92">
        <f t="shared" ref="C89:C104" si="36">C79+10</f>
        <v>85</v>
      </c>
      <c r="D89" s="93">
        <v>1101779926</v>
      </c>
      <c r="E89" s="93">
        <f t="shared" si="35"/>
        <v>97400000</v>
      </c>
      <c r="G89" s="76"/>
      <c r="H89" s="76"/>
    </row>
    <row r="90" spans="2:8">
      <c r="B90" s="91"/>
      <c r="C90" s="92">
        <f t="shared" si="36"/>
        <v>86</v>
      </c>
      <c r="D90" s="93">
        <v>1199179926</v>
      </c>
      <c r="E90" s="93">
        <f t="shared" si="35"/>
        <v>110050000</v>
      </c>
      <c r="G90" s="76"/>
      <c r="H90" s="76"/>
    </row>
    <row r="91" spans="2:8">
      <c r="B91" s="91"/>
      <c r="C91" s="92">
        <f t="shared" si="36"/>
        <v>87</v>
      </c>
      <c r="D91" s="93">
        <v>1309229926</v>
      </c>
      <c r="E91" s="93">
        <f t="shared" si="35"/>
        <v>162000000</v>
      </c>
      <c r="G91" s="76"/>
      <c r="H91" s="76"/>
    </row>
    <row r="92" spans="2:8">
      <c r="B92" s="91"/>
      <c r="C92" s="92">
        <f t="shared" si="36"/>
        <v>88</v>
      </c>
      <c r="D92" s="93">
        <v>1471229926</v>
      </c>
      <c r="E92" s="93">
        <f t="shared" si="35"/>
        <v>264000000</v>
      </c>
      <c r="G92" s="76"/>
      <c r="H92" s="76"/>
    </row>
    <row r="93" spans="2:8">
      <c r="B93" s="91"/>
      <c r="C93" s="92">
        <f t="shared" si="36"/>
        <v>89</v>
      </c>
      <c r="D93" s="93">
        <v>1735229926</v>
      </c>
      <c r="E93" s="93">
        <f t="shared" si="35"/>
        <v>354000000</v>
      </c>
      <c r="G93" s="76"/>
      <c r="H93" s="76"/>
    </row>
    <row r="94" spans="2:8">
      <c r="B94" s="91">
        <v>8</v>
      </c>
      <c r="C94" s="92">
        <f t="shared" si="36"/>
        <v>90</v>
      </c>
      <c r="D94" s="93">
        <v>2089229926</v>
      </c>
      <c r="E94" s="93">
        <f t="shared" si="35"/>
        <v>696409989</v>
      </c>
      <c r="G94" s="76"/>
      <c r="H94" s="76"/>
    </row>
    <row r="95" spans="2:8">
      <c r="B95" s="91"/>
      <c r="C95" s="92">
        <f t="shared" si="36"/>
        <v>91</v>
      </c>
      <c r="D95" s="93">
        <v>2785639915</v>
      </c>
      <c r="E95" s="93">
        <f t="shared" si="35"/>
        <v>1389819977</v>
      </c>
      <c r="G95" s="76"/>
      <c r="H95" s="76"/>
    </row>
    <row r="96" spans="2:8">
      <c r="B96" s="91"/>
      <c r="C96" s="92">
        <f t="shared" si="36"/>
        <v>92</v>
      </c>
      <c r="D96" s="93">
        <v>4175459892</v>
      </c>
      <c r="E96" s="93">
        <f t="shared" si="35"/>
        <v>2092229966</v>
      </c>
      <c r="G96" s="76"/>
      <c r="H96" s="76"/>
    </row>
    <row r="97" spans="2:8">
      <c r="B97" s="91"/>
      <c r="C97" s="92">
        <f t="shared" si="36"/>
        <v>93</v>
      </c>
      <c r="D97" s="93">
        <v>6267689858</v>
      </c>
      <c r="E97" s="93">
        <f t="shared" si="35"/>
        <v>2100000000</v>
      </c>
      <c r="G97" s="76"/>
      <c r="H97" s="76"/>
    </row>
    <row r="98" spans="2:8">
      <c r="B98" s="91"/>
      <c r="C98" s="92">
        <f t="shared" si="36"/>
        <v>94</v>
      </c>
      <c r="D98" s="93">
        <v>8367689858</v>
      </c>
      <c r="E98" s="93">
        <f t="shared" si="35"/>
        <v>2110000000</v>
      </c>
      <c r="G98" s="76"/>
      <c r="H98" s="76"/>
    </row>
    <row r="99" spans="2:8">
      <c r="B99" s="91"/>
      <c r="C99" s="92">
        <f t="shared" si="36"/>
        <v>95</v>
      </c>
      <c r="D99" s="93">
        <v>10477689858</v>
      </c>
      <c r="E99" s="93">
        <f t="shared" si="35"/>
        <v>10477689898</v>
      </c>
      <c r="G99" s="76"/>
      <c r="H99" s="76"/>
    </row>
    <row r="100" spans="2:8">
      <c r="B100" s="91"/>
      <c r="C100" s="92">
        <f t="shared" si="36"/>
        <v>96</v>
      </c>
      <c r="D100" s="93">
        <v>20955379756</v>
      </c>
      <c r="E100" s="93">
        <f t="shared" si="35"/>
        <v>41910759592</v>
      </c>
      <c r="G100" s="76"/>
      <c r="H100" s="76"/>
    </row>
    <row r="101" spans="2:8">
      <c r="B101" s="91"/>
      <c r="C101" s="92">
        <f t="shared" si="36"/>
        <v>97</v>
      </c>
      <c r="D101" s="93">
        <v>62866139348</v>
      </c>
      <c r="E101" s="93">
        <f t="shared" si="35"/>
        <v>125732278776</v>
      </c>
      <c r="G101" s="76"/>
      <c r="H101" s="76"/>
    </row>
    <row r="102" spans="2:8">
      <c r="B102" s="91"/>
      <c r="C102" s="92">
        <f t="shared" si="36"/>
        <v>98</v>
      </c>
      <c r="D102" s="93">
        <v>188598418124</v>
      </c>
      <c r="E102" s="93" t="e">
        <f t="shared" si="35"/>
        <v>#VALUE!</v>
      </c>
      <c r="G102" s="76"/>
      <c r="H102" s="76"/>
    </row>
    <row r="103" spans="2:8">
      <c r="B103" s="91"/>
      <c r="C103" s="92">
        <f t="shared" si="36"/>
        <v>99</v>
      </c>
      <c r="D103" s="93" t="s">
        <v>115</v>
      </c>
      <c r="E103" s="93"/>
      <c r="G103" s="76"/>
      <c r="H103" s="76"/>
    </row>
    <row r="104" spans="2:8">
      <c r="B104" s="91"/>
      <c r="C104" s="92">
        <f t="shared" si="36"/>
        <v>100</v>
      </c>
      <c r="D104" s="93" t="s">
        <v>115</v>
      </c>
      <c r="E104" s="93"/>
      <c r="G104" s="76"/>
      <c r="H104" s="76"/>
    </row>
    <row r="105" spans="2:8">
      <c r="G105" s="76"/>
      <c r="H105" s="76"/>
    </row>
    <row r="106" spans="2:8">
      <c r="G106" s="76"/>
      <c r="H106" s="76"/>
    </row>
    <row r="107" spans="2:8">
      <c r="G107" s="76"/>
      <c r="H107" s="76"/>
    </row>
    <row r="108" spans="2:8">
      <c r="G108" s="76"/>
      <c r="H108" s="76"/>
    </row>
    <row r="109" spans="2:8">
      <c r="G109" s="76"/>
      <c r="H109" s="76"/>
    </row>
    <row r="110" spans="2:8">
      <c r="G110" s="76"/>
      <c r="H110" s="76"/>
    </row>
    <row r="111" spans="2:8">
      <c r="G111" s="76"/>
      <c r="H111" s="76"/>
    </row>
    <row r="112" spans="2:8">
      <c r="G112" s="76"/>
      <c r="H112" s="76"/>
    </row>
    <row r="113" spans="7:8">
      <c r="G113" s="76"/>
      <c r="H113" s="76"/>
    </row>
    <row r="114" spans="7:8">
      <c r="G114" s="76"/>
      <c r="H114" s="76"/>
    </row>
    <row r="115" spans="7:8">
      <c r="G115" s="76"/>
      <c r="H115" s="76"/>
    </row>
  </sheetData>
  <phoneticPr fontId="5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魔力の結晶計算機</vt:lpstr>
      <vt:lpstr>計算データ</vt:lpstr>
    </vt:vector>
  </TitlesOfParts>
  <Company>想像の覚書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(#ﾟДﾟ) ﾌﾟﾝｽｺ！</dc:creator>
  <cp:lastModifiedBy>pumsco</cp:lastModifiedBy>
  <dcterms:created xsi:type="dcterms:W3CDTF">2014-10-31T16:19:48Z</dcterms:created>
  <dcterms:modified xsi:type="dcterms:W3CDTF">2014-11-01T08:31:55Z</dcterms:modified>
</cp:coreProperties>
</file>