
<file path=[Content_Types].xml><?xml version="1.0" encoding="utf-8"?>
<Types xmlns="http://schemas.openxmlformats.org/package/2006/content-types">
  <Override PartName="/xl/ctrlProps/ctrlProp69.xml" ContentType="application/vnd.ms-excel.controlproperties+xml"/>
  <Override PartName="/xl/ctrlProps/ctrlProp49.xml" ContentType="application/vnd.ms-excel.contro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67.xml" ContentType="application/vnd.ms-excel.controlproperties+xml"/>
  <Override PartName="/xl/ctrlProps/ctrlProp58.xml" ContentType="application/vnd.ms-excel.controlproperties+xml"/>
  <Override PartName="/xl/ctrlProps/ctrlProp47.xml" ContentType="application/vnd.ms-excel.controlproperties+xml"/>
  <Override PartName="/xl/ctrlProps/ctrlProp38.xml" ContentType="application/vnd.ms-excel.controlproperties+xml"/>
  <Override PartName="/xl/ctrlProps/ctrlProp29.xml" ContentType="application/vnd.ms-excel.controlproperties+xml"/>
  <Override PartName="/xl/charts/chart2.xml" ContentType="application/vnd.openxmlformats-officedocument.drawingml.chart+xml"/>
  <Override PartName="/xl/ctrlProps/ctrlProp74.xml" ContentType="application/vnd.ms-excel.controlproperties+xml"/>
  <Override PartName="/xl/ctrlProps/ctrlProp65.xml" ContentType="application/vnd.ms-excel.controlproperties+xml"/>
  <Override PartName="/xl/ctrlProps/ctrlProp27.xml" ContentType="application/vnd.ms-excel.controlproperties+xml"/>
  <Override PartName="/xl/ctrlProps/ctrlProp56.xml" ContentType="application/vnd.ms-excel.controlproperties+xml"/>
  <Override PartName="/xl/ctrlProps/ctrlProp45.xml" ContentType="application/vnd.ms-excel.controlproperties+xml"/>
  <Override PartName="/xl/ctrlProps/ctrlProp18.xml" ContentType="application/vnd.ms-excel.controlproperties+xml"/>
  <Override PartName="/xl/ctrlProps/ctrlProp36.xml" ContentType="application/vnd.ms-excel.controlproperties+xml"/>
  <Default Extension="rels" ContentType="application/vnd.openxmlformats-package.relationships+xml"/>
  <Default Extension="xml" ContentType="application/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63.xml" ContentType="application/vnd.ms-excel.controlproperties+xml"/>
  <Override PartName="/xl/ctrlProps/ctrlProp52.xml" ContentType="application/vnd.ms-excel.controlproperties+xml"/>
  <Override PartName="/xl/ctrlProps/ctrlProp34.xml" ContentType="application/vnd.ms-excel.controlproperties+xml"/>
  <Override PartName="/xl/ctrlProps/ctrlProp43.xml" ContentType="application/vnd.ms-excel.controlproperties+xml"/>
  <Override PartName="/xl/ctrlProps/ctrlProp25.xml" ContentType="application/vnd.ms-excel.controlproperties+xml"/>
  <Override PartName="/xl/ctrlProps/ctrlProp54.xml" ContentType="application/vnd.ms-excel.controlproperties+xml"/>
  <Override PartName="/xl/ctrlProps/ctrlProp16.xml" ContentType="application/vnd.ms-excel.controlproperties+xml"/>
  <Override PartName="/xl/worksheets/sheet3.xml" ContentType="application/vnd.openxmlformats-officedocument.spreadsheetml.worksheet+xml"/>
  <Override PartName="/xl/ctrlProps/ctrlProp61.xml" ContentType="application/vnd.ms-excel.controlproperties+xml"/>
  <Override PartName="/xl/ctrlProps/ctrlProp70.xml" ContentType="application/vnd.ms-excel.controlproperties+xml"/>
  <Override PartName="/xl/ctrlProps/ctrlProp32.xml" ContentType="application/vnd.ms-excel.controlproperties+xml"/>
  <Override PartName="/xl/ctrlProps/ctrlProp50.xml" ContentType="application/vnd.ms-excel.controlproperties+xml"/>
  <Override PartName="/xl/ctrlProps/ctrlProp23.xml" ContentType="application/vnd.ms-excel.controlproperties+xml"/>
  <Override PartName="/xl/ctrlProps/ctrlProp41.xml" ContentType="application/vnd.ms-excel.controlproperties+xml"/>
  <Override PartName="/xl/ctrlProps/ctrlProp14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30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2.xml" ContentType="application/vnd.ms-excel.controlproperties+xml"/>
  <Default Extension="bin" ContentType="application/vnd.openxmlformats-officedocument.spreadsheetml.printerSettings"/>
  <Override PartName="/xl/ctrlProps/ctrlProp59.xml" ContentType="application/vnd.ms-excel.controlproperties+xml"/>
  <Override PartName="/xl/ctrlProps/ctrlProp68.xml" ContentType="application/vnd.ms-excel.controlproperties+xml"/>
  <Override PartName="/xl/ctrlProps/ctrlProp66.xml" ContentType="application/vnd.ms-excel.controlproperties+xml"/>
  <Override PartName="/xl/ctrlProps/ctrlProp48.xml" ContentType="application/vnd.ms-excel.controlproperties+xml"/>
  <Override PartName="/xl/ctrlProps/ctrlProp39.xml" ContentType="application/vnd.ms-excel.controlproperties+xml"/>
  <Override PartName="/xl/ctrlProps/ctrlProp19.xml" ContentType="application/vnd.ms-excel.controlproperties+xml"/>
  <Override PartName="/xl/ctrlProps/ctrlProp28.xml" ContentType="application/vnd.ms-excel.controlproperties+xml"/>
  <Override PartName="/xl/ctrlProps/ctrlProp57.xml" ContentType="application/vnd.ms-excel.controlproperties+xml"/>
  <Override PartName="/xl/charts/chart3.xml" ContentType="application/vnd.openxmlformats-officedocument.drawingml.chart+xml"/>
  <Override PartName="/xl/ctrlProps/ctrlProp64.xml" ContentType="application/vnd.ms-excel.controlproperties+xml"/>
  <Override PartName="/xl/ctrlProps/ctrlProp73.xml" ContentType="application/vnd.ms-excel.controlproperties+xml"/>
  <Override PartName="/xl/ctrlProps/ctrlProp26.xml" ContentType="application/vnd.ms-excel.controlproperties+xml"/>
  <Override PartName="/xl/ctrlProps/ctrlProp55.xml" ContentType="application/vnd.ms-excel.controlproperties+xml"/>
  <Override PartName="/xl/ctrlProps/ctrlProp46.xml" ContentType="application/vnd.ms-excel.controlproperties+xml"/>
  <Override PartName="/xl/ctrlProps/ctrlProp37.xml" ContentType="application/vnd.ms-excel.controlproperties+xml"/>
  <Override PartName="/xl/ctrlProps/ctrlProp17.xml" ContentType="application/vnd.ms-excel.controlproperti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62.xml" ContentType="application/vnd.ms-excel.controlproperties+xml"/>
  <Override PartName="/xl/ctrlProps/ctrlProp71.xml" ContentType="application/vnd.ms-excel.controlproperties+xml"/>
  <Override PartName="/xl/ctrlProps/ctrlProp53.xml" ContentType="application/vnd.ms-excel.controlproperties+xml"/>
  <Override PartName="/xl/ctrlProps/ctrlProp35.xml" ContentType="application/vnd.ms-excel.controlproperties+xml"/>
  <Override PartName="/xl/ctrlProps/ctrlProp24.xml" ContentType="application/vnd.ms-excel.controlproperties+xml"/>
  <Override PartName="/xl/ctrlProps/ctrlProp44.xml" ContentType="application/vnd.ms-excel.controlproperties+xml"/>
  <Override PartName="/xl/ctrlProps/ctrlProp15.xml" ContentType="application/vnd.ms-excel.controlproperties+xml"/>
  <Override PartName="/xl/ctrlProps/ctrlProp9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trlProps/ctrlProp60.xml" ContentType="application/vnd.ms-excel.controlproperties+xml"/>
  <Override PartName="/xl/ctrlProps/ctrlProp22.xml" ContentType="application/vnd.ms-excel.controlproperties+xml"/>
  <Override PartName="/xl/ctrlProps/ctrlProp51.xml" ContentType="application/vnd.ms-excel.controlproperties+xml"/>
  <Override PartName="/xl/ctrlProps/ctrlProp42.xml" ContentType="application/vnd.ms-excel.controlproperties+xml"/>
  <Override PartName="/xl/ctrlProps/ctrlProp33.xml" ContentType="application/vnd.ms-excel.controlproperties+xml"/>
  <Override PartName="/xl/ctrlProps/ctrlProp13.xml" ContentType="application/vnd.ms-excel.controlproperties+xml"/>
  <Override PartName="/xl/ctrlProps/ctrlProp7.xml" ContentType="application/vnd.ms-excel.controlproperties+xml"/>
  <Default Extension="vml" ContentType="application/vnd.openxmlformats-officedocument.vmlDrawing"/>
  <Override PartName="/xl/calcChain.xml" ContentType="application/vnd.openxmlformats-officedocument.spreadsheetml.calcChain+xml"/>
  <Override PartName="/xl/ctrlProps/ctrlProp40.xml" ContentType="application/vnd.ms-excel.controlproperties+xml"/>
  <Override PartName="/xl/ctrlProps/ctrlProp31.xml" ContentType="application/vnd.ms-excel.controlproperties+xml"/>
  <Override PartName="/xl/ctrlProps/ctrlProp20.xml" ContentType="application/vnd.ms-excel.controlproperties+xml"/>
  <Override PartName="/xl/ctrlProps/ctrlProp5.xml" ContentType="application/vnd.ms-excel.controlproperties+xml"/>
  <Override PartName="/xl/ctrlProps/ctrlProp11.xml" ContentType="application/vnd.ms-excel.controlproperties+xml"/>
  <Override PartName="/xl/ctrlProps/ctrlProp3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8340" windowHeight="14565"/>
  </bookViews>
  <sheets>
    <sheet name="南国ビーチ用" sheetId="10" r:id="rId1"/>
    <sheet name="通常用計算機" sheetId="12" r:id="rId2"/>
    <sheet name="　　" sheetId="3" r:id="rId3"/>
    <sheet name="南国ビーチ(耐性HP換算タイプ)" sheetId="7" r:id="rId4"/>
  </sheets>
  <calcPr calcId="125725"/>
</workbook>
</file>

<file path=xl/calcChain.xml><?xml version="1.0" encoding="utf-8"?>
<calcChain xmlns="http://schemas.openxmlformats.org/spreadsheetml/2006/main">
  <c r="AA45" i="7"/>
  <c r="Z45"/>
  <c r="Y45"/>
  <c r="X45"/>
  <c r="AA44"/>
  <c r="Z44"/>
  <c r="Y44"/>
  <c r="X44"/>
  <c r="AA43"/>
  <c r="Z43"/>
  <c r="Y43"/>
  <c r="X43"/>
  <c r="AA42"/>
  <c r="Z42"/>
  <c r="Y42"/>
  <c r="X42"/>
  <c r="AA41"/>
  <c r="Z41"/>
  <c r="Y41"/>
  <c r="X41"/>
  <c r="AA40"/>
  <c r="Z40"/>
  <c r="Y40"/>
  <c r="X40"/>
  <c r="AA39"/>
  <c r="Z39"/>
  <c r="Y39"/>
  <c r="X39"/>
  <c r="X28"/>
  <c r="Y28"/>
  <c r="Z28"/>
  <c r="AA28"/>
  <c r="X29"/>
  <c r="Y29"/>
  <c r="Z29"/>
  <c r="AA29"/>
  <c r="X30"/>
  <c r="Y30"/>
  <c r="Z30"/>
  <c r="AA30"/>
  <c r="X31"/>
  <c r="Y31"/>
  <c r="Z31"/>
  <c r="AA31"/>
  <c r="X32"/>
  <c r="Y32"/>
  <c r="Z32"/>
  <c r="AA32"/>
  <c r="X33"/>
  <c r="Y33"/>
  <c r="Z33"/>
  <c r="AA33"/>
  <c r="X34"/>
  <c r="Y34"/>
  <c r="Z34"/>
  <c r="AA34"/>
  <c r="X35"/>
  <c r="Y35"/>
  <c r="Z35"/>
  <c r="AA35"/>
  <c r="X36"/>
  <c r="Y36"/>
  <c r="Z36"/>
  <c r="AA36"/>
  <c r="AA27"/>
  <c r="Z27"/>
  <c r="Y27"/>
  <c r="X27"/>
  <c r="M28" i="12"/>
  <c r="N28"/>
  <c r="O28"/>
  <c r="P28"/>
  <c r="M29"/>
  <c r="N29"/>
  <c r="O29"/>
  <c r="P29"/>
  <c r="M30"/>
  <c r="N30"/>
  <c r="O30"/>
  <c r="P30"/>
  <c r="M31"/>
  <c r="N31"/>
  <c r="O31"/>
  <c r="P31"/>
  <c r="M32"/>
  <c r="N32"/>
  <c r="O32"/>
  <c r="P32"/>
  <c r="M33"/>
  <c r="N33"/>
  <c r="O33"/>
  <c r="P33"/>
  <c r="M34"/>
  <c r="N34"/>
  <c r="O34"/>
  <c r="P34"/>
  <c r="M35"/>
  <c r="N35"/>
  <c r="O35"/>
  <c r="P35"/>
  <c r="M36"/>
  <c r="N36"/>
  <c r="O36"/>
  <c r="P36"/>
  <c r="M37"/>
  <c r="N37"/>
  <c r="O37"/>
  <c r="P37"/>
  <c r="M38"/>
  <c r="N38"/>
  <c r="O38"/>
  <c r="P38"/>
  <c r="M39"/>
  <c r="N39"/>
  <c r="O39"/>
  <c r="P39"/>
  <c r="M40"/>
  <c r="N40"/>
  <c r="O40"/>
  <c r="P40"/>
  <c r="M41"/>
  <c r="N41"/>
  <c r="O41"/>
  <c r="P41"/>
  <c r="P27"/>
  <c r="O27"/>
  <c r="N27"/>
  <c r="M27"/>
  <c r="AC45" i="10"/>
  <c r="AB45"/>
  <c r="AA45"/>
  <c r="Z45"/>
  <c r="AC44"/>
  <c r="AB44"/>
  <c r="AA44"/>
  <c r="Z44"/>
  <c r="AC43"/>
  <c r="AB43"/>
  <c r="AA43"/>
  <c r="Z43"/>
  <c r="AC42"/>
  <c r="AB42"/>
  <c r="AA42"/>
  <c r="Z42"/>
  <c r="AC41"/>
  <c r="AB41"/>
  <c r="AA41"/>
  <c r="Z41"/>
  <c r="AC40"/>
  <c r="AB40"/>
  <c r="AA40"/>
  <c r="Z40"/>
  <c r="AC39"/>
  <c r="AB39"/>
  <c r="AA39"/>
  <c r="Z39"/>
  <c r="Z28"/>
  <c r="AA28"/>
  <c r="AB28"/>
  <c r="AC28"/>
  <c r="Z29"/>
  <c r="AA29"/>
  <c r="AB29"/>
  <c r="AC29"/>
  <c r="Z30"/>
  <c r="AA30"/>
  <c r="AB30"/>
  <c r="AC30"/>
  <c r="Z31"/>
  <c r="AA31"/>
  <c r="AB31"/>
  <c r="AC31"/>
  <c r="Z32"/>
  <c r="AA32"/>
  <c r="AB32"/>
  <c r="AC32"/>
  <c r="Z33"/>
  <c r="AA33"/>
  <c r="AB33"/>
  <c r="AC33"/>
  <c r="Z34"/>
  <c r="AA34"/>
  <c r="AB34"/>
  <c r="AC34"/>
  <c r="Z35"/>
  <c r="AA35"/>
  <c r="AB35"/>
  <c r="AC35"/>
  <c r="Z36"/>
  <c r="AA36"/>
  <c r="AB36"/>
  <c r="AC36"/>
  <c r="AC27"/>
  <c r="AB27"/>
  <c r="AA27"/>
  <c r="Z27"/>
  <c r="AA2" i="12" l="1"/>
  <c r="B28" s="1"/>
  <c r="AD3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E3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"/>
  <c r="K19"/>
  <c r="K18"/>
  <c r="K17"/>
  <c r="K16"/>
  <c r="K15"/>
  <c r="K14"/>
  <c r="K13"/>
  <c r="K12"/>
  <c r="K11"/>
  <c r="K10"/>
  <c r="K9"/>
  <c r="K8"/>
  <c r="K7"/>
  <c r="K6"/>
  <c r="K5"/>
  <c r="K4"/>
  <c r="BF2" i="7"/>
  <c r="AL106"/>
  <c r="AL107" s="1"/>
  <c r="AL108" s="1"/>
  <c r="AL109" s="1"/>
  <c r="AL101"/>
  <c r="AL102" s="1"/>
  <c r="AL103" s="1"/>
  <c r="AL104" s="1"/>
  <c r="AL105" s="1"/>
  <c r="AL97"/>
  <c r="AL98" s="1"/>
  <c r="AL99" s="1"/>
  <c r="AL100" s="1"/>
  <c r="AL90"/>
  <c r="AL91" s="1"/>
  <c r="AL92" s="1"/>
  <c r="AL93" s="1"/>
  <c r="AL94" s="1"/>
  <c r="AL95" s="1"/>
  <c r="AL96" s="1"/>
  <c r="AL87"/>
  <c r="AL88" s="1"/>
  <c r="AL89" s="1"/>
  <c r="AL81"/>
  <c r="AL82" s="1"/>
  <c r="AL83" s="1"/>
  <c r="AL84" s="1"/>
  <c r="AL85" s="1"/>
  <c r="AL86" s="1"/>
  <c r="AL74"/>
  <c r="AL75" s="1"/>
  <c r="AL76" s="1"/>
  <c r="AL77" s="1"/>
  <c r="AL78" s="1"/>
  <c r="AL79" s="1"/>
  <c r="AL80" s="1"/>
  <c r="AL61"/>
  <c r="AL62" s="1"/>
  <c r="AL63" s="1"/>
  <c r="AL64" s="1"/>
  <c r="AL65" s="1"/>
  <c r="AL66" s="1"/>
  <c r="AL67" s="1"/>
  <c r="AL68" s="1"/>
  <c r="AL69" s="1"/>
  <c r="AL70" s="1"/>
  <c r="AL71" s="1"/>
  <c r="AL72" s="1"/>
  <c r="AL73" s="1"/>
  <c r="AL53"/>
  <c r="AL54" s="1"/>
  <c r="AL55" s="1"/>
  <c r="AL56" s="1"/>
  <c r="AL57" s="1"/>
  <c r="AL58" s="1"/>
  <c r="AL59" s="1"/>
  <c r="AL60" s="1"/>
  <c r="AL48"/>
  <c r="AL49" s="1"/>
  <c r="AL50" s="1"/>
  <c r="AL51" s="1"/>
  <c r="AL52" s="1"/>
  <c r="AL41"/>
  <c r="AL42" s="1"/>
  <c r="AL43" s="1"/>
  <c r="AL44" s="1"/>
  <c r="AL45" s="1"/>
  <c r="AL46" s="1"/>
  <c r="AL47" s="1"/>
  <c r="AL34"/>
  <c r="AL35" s="1"/>
  <c r="AL36" s="1"/>
  <c r="AL37" s="1"/>
  <c r="AL38" s="1"/>
  <c r="AL39" s="1"/>
  <c r="AL40" s="1"/>
  <c r="AL27"/>
  <c r="AL28" s="1"/>
  <c r="AL29" s="1"/>
  <c r="AL30" s="1"/>
  <c r="AL31" s="1"/>
  <c r="AL32" s="1"/>
  <c r="AL33" s="1"/>
  <c r="AL20"/>
  <c r="AL21" s="1"/>
  <c r="AL22" s="1"/>
  <c r="AL23" s="1"/>
  <c r="AL24" s="1"/>
  <c r="AL25" s="1"/>
  <c r="AL26" s="1"/>
  <c r="AL12"/>
  <c r="AL13" s="1"/>
  <c r="AL14" s="1"/>
  <c r="AL15" s="1"/>
  <c r="AL16" s="1"/>
  <c r="AL17" s="1"/>
  <c r="AL18" s="1"/>
  <c r="AL19" s="1"/>
  <c r="AK3"/>
  <c r="AL2"/>
  <c r="AM2" s="1"/>
  <c r="BI5"/>
  <c r="BI6"/>
  <c r="BI7"/>
  <c r="BI8"/>
  <c r="BI9"/>
  <c r="BI10"/>
  <c r="BI11"/>
  <c r="AW6" s="1"/>
  <c r="BI12"/>
  <c r="BI13"/>
  <c r="BI14"/>
  <c r="BI15"/>
  <c r="BI16"/>
  <c r="BI17"/>
  <c r="BI18"/>
  <c r="BI19"/>
  <c r="BI20"/>
  <c r="C33" i="12" l="1"/>
  <c r="C39"/>
  <c r="C31"/>
  <c r="C35"/>
  <c r="C41"/>
  <c r="C37"/>
  <c r="C29"/>
  <c r="B41"/>
  <c r="B37"/>
  <c r="B35"/>
  <c r="B33"/>
  <c r="B31"/>
  <c r="B29"/>
  <c r="B27"/>
  <c r="C40"/>
  <c r="C38"/>
  <c r="C36"/>
  <c r="C34"/>
  <c r="C32"/>
  <c r="C30"/>
  <c r="C28"/>
  <c r="B39"/>
  <c r="C27"/>
  <c r="B40"/>
  <c r="B38"/>
  <c r="B36"/>
  <c r="B34"/>
  <c r="B32"/>
  <c r="B30"/>
  <c r="AW9" i="7"/>
  <c r="A34" s="1"/>
  <c r="AW5"/>
  <c r="A30" s="1"/>
  <c r="AW2"/>
  <c r="A27" s="1"/>
  <c r="AW8"/>
  <c r="A33" s="1"/>
  <c r="AW4"/>
  <c r="A29" s="1"/>
  <c r="AL3"/>
  <c r="AL4" s="1"/>
  <c r="AL5" s="1"/>
  <c r="AL6" s="1"/>
  <c r="AL7" s="1"/>
  <c r="AL8" s="1"/>
  <c r="AL9" s="1"/>
  <c r="AL10" s="1"/>
  <c r="AL11" s="1"/>
  <c r="AW11"/>
  <c r="A36" s="1"/>
  <c r="AW7"/>
  <c r="A32" s="1"/>
  <c r="AW3"/>
  <c r="A28" s="1"/>
  <c r="AW10"/>
  <c r="A35" s="1"/>
  <c r="AK4"/>
  <c r="BH3"/>
  <c r="A31"/>
  <c r="J19"/>
  <c r="J18"/>
  <c r="J17"/>
  <c r="J16"/>
  <c r="J15"/>
  <c r="J14"/>
  <c r="J13"/>
  <c r="J12"/>
  <c r="J11"/>
  <c r="J10"/>
  <c r="J9"/>
  <c r="J8"/>
  <c r="J7"/>
  <c r="J6"/>
  <c r="J5"/>
  <c r="B26"/>
  <c r="J4"/>
  <c r="AO109" i="10"/>
  <c r="AN109"/>
  <c r="AM109"/>
  <c r="AO108"/>
  <c r="AN108"/>
  <c r="AM108"/>
  <c r="AO107"/>
  <c r="AN107"/>
  <c r="AM107"/>
  <c r="AO106"/>
  <c r="AN106"/>
  <c r="AM106"/>
  <c r="AO105"/>
  <c r="AN105"/>
  <c r="AM105"/>
  <c r="AO104"/>
  <c r="AN104"/>
  <c r="AM104"/>
  <c r="AO103"/>
  <c r="AN103"/>
  <c r="AM103"/>
  <c r="AO102"/>
  <c r="AN102"/>
  <c r="AM102"/>
  <c r="AO101"/>
  <c r="AN101"/>
  <c r="AM101"/>
  <c r="AO100"/>
  <c r="AN100"/>
  <c r="AM100"/>
  <c r="AO99"/>
  <c r="AN99"/>
  <c r="AM99"/>
  <c r="AO98"/>
  <c r="AN98"/>
  <c r="AM98"/>
  <c r="AO97"/>
  <c r="AN97"/>
  <c r="AM97"/>
  <c r="AO96"/>
  <c r="AN96"/>
  <c r="AM96"/>
  <c r="AO95"/>
  <c r="AN95"/>
  <c r="AM95"/>
  <c r="AO94"/>
  <c r="AN94"/>
  <c r="AM94"/>
  <c r="AO93"/>
  <c r="AN93"/>
  <c r="AM93"/>
  <c r="AO92"/>
  <c r="AN92"/>
  <c r="AM92"/>
  <c r="AO91"/>
  <c r="AN91"/>
  <c r="AM91"/>
  <c r="AO90"/>
  <c r="AN90"/>
  <c r="AM90"/>
  <c r="AO89"/>
  <c r="AN89"/>
  <c r="AM89"/>
  <c r="AO88"/>
  <c r="AN88"/>
  <c r="AM88"/>
  <c r="AO87"/>
  <c r="AN87"/>
  <c r="AM87"/>
  <c r="AO86"/>
  <c r="AN86"/>
  <c r="AM86"/>
  <c r="AO85"/>
  <c r="AN85"/>
  <c r="AM85"/>
  <c r="AO84"/>
  <c r="AN84"/>
  <c r="AM84"/>
  <c r="AO83"/>
  <c r="AN83"/>
  <c r="AM83"/>
  <c r="AO82"/>
  <c r="AN82"/>
  <c r="AM82"/>
  <c r="AO81"/>
  <c r="AN81"/>
  <c r="AM81"/>
  <c r="AO80"/>
  <c r="AN80"/>
  <c r="AM80"/>
  <c r="AO79"/>
  <c r="AN79"/>
  <c r="AM79"/>
  <c r="AO78"/>
  <c r="AN78"/>
  <c r="AM78"/>
  <c r="AO77"/>
  <c r="AN77"/>
  <c r="AM77"/>
  <c r="AO76"/>
  <c r="AN76"/>
  <c r="AM76"/>
  <c r="AO75"/>
  <c r="AN75"/>
  <c r="AM75"/>
  <c r="AO74"/>
  <c r="AN74"/>
  <c r="AM74"/>
  <c r="AO73"/>
  <c r="AN73"/>
  <c r="AM73"/>
  <c r="AO72"/>
  <c r="AN72"/>
  <c r="AM72"/>
  <c r="AO71"/>
  <c r="AN71"/>
  <c r="AM71"/>
  <c r="AO70"/>
  <c r="AN70"/>
  <c r="AM70"/>
  <c r="AO69"/>
  <c r="AN69"/>
  <c r="AM69"/>
  <c r="AO68"/>
  <c r="AN68"/>
  <c r="AM68"/>
  <c r="AO67"/>
  <c r="AN67"/>
  <c r="AM67"/>
  <c r="AO66"/>
  <c r="AN66"/>
  <c r="AM66"/>
  <c r="AO65"/>
  <c r="AN65"/>
  <c r="AM65"/>
  <c r="AO64"/>
  <c r="AN64"/>
  <c r="AM64"/>
  <c r="AO63"/>
  <c r="AN63"/>
  <c r="AM63"/>
  <c r="AO62"/>
  <c r="AN62"/>
  <c r="AM62"/>
  <c r="AO61"/>
  <c r="AN61"/>
  <c r="AM61"/>
  <c r="AO60"/>
  <c r="AN60"/>
  <c r="AM60"/>
  <c r="AO59"/>
  <c r="AN59"/>
  <c r="AM59"/>
  <c r="AO58"/>
  <c r="AN58"/>
  <c r="AM58"/>
  <c r="AO57"/>
  <c r="AN57"/>
  <c r="AM57"/>
  <c r="AO56"/>
  <c r="AN56"/>
  <c r="AM56"/>
  <c r="AO55"/>
  <c r="AN55"/>
  <c r="AM55"/>
  <c r="AO54"/>
  <c r="AN54"/>
  <c r="AM54"/>
  <c r="AO53"/>
  <c r="AN53"/>
  <c r="AM53"/>
  <c r="AO52"/>
  <c r="AN52"/>
  <c r="AM52"/>
  <c r="AO51"/>
  <c r="AN51"/>
  <c r="AM51"/>
  <c r="AO50"/>
  <c r="AN50"/>
  <c r="AM50"/>
  <c r="AO49"/>
  <c r="AN49"/>
  <c r="AM49"/>
  <c r="AO48"/>
  <c r="AN48"/>
  <c r="AM48"/>
  <c r="AO47"/>
  <c r="AN47"/>
  <c r="AM47"/>
  <c r="AO46"/>
  <c r="AN46"/>
  <c r="AM46"/>
  <c r="AO45"/>
  <c r="AN45"/>
  <c r="AM45"/>
  <c r="AO44"/>
  <c r="AN44"/>
  <c r="AM44"/>
  <c r="AO43"/>
  <c r="AN43"/>
  <c r="AM43"/>
  <c r="AO42"/>
  <c r="AN42"/>
  <c r="AM42"/>
  <c r="AO41"/>
  <c r="AN41"/>
  <c r="AM41"/>
  <c r="AO40"/>
  <c r="AN40"/>
  <c r="AM40"/>
  <c r="AO39"/>
  <c r="AN39"/>
  <c r="AM39"/>
  <c r="AO38"/>
  <c r="AN38"/>
  <c r="AM38"/>
  <c r="AO37"/>
  <c r="AN37"/>
  <c r="AM37"/>
  <c r="AO36"/>
  <c r="AN36"/>
  <c r="AM36"/>
  <c r="AO35"/>
  <c r="AN35"/>
  <c r="AM35"/>
  <c r="AO34"/>
  <c r="AN34"/>
  <c r="AM34"/>
  <c r="AO33"/>
  <c r="AN33"/>
  <c r="AM33"/>
  <c r="AO32"/>
  <c r="AN32"/>
  <c r="AM32"/>
  <c r="AO31"/>
  <c r="AN31"/>
  <c r="AM31"/>
  <c r="AO30"/>
  <c r="AN30"/>
  <c r="AM30"/>
  <c r="AO29"/>
  <c r="AN29"/>
  <c r="AM29"/>
  <c r="AO28"/>
  <c r="AN28"/>
  <c r="AM28"/>
  <c r="AO27"/>
  <c r="AN27"/>
  <c r="AM27"/>
  <c r="AO26"/>
  <c r="AN26"/>
  <c r="AM26"/>
  <c r="AO25"/>
  <c r="AN25"/>
  <c r="AM25"/>
  <c r="AO24"/>
  <c r="AN24"/>
  <c r="AM24"/>
  <c r="AO23"/>
  <c r="AN23"/>
  <c r="AM23"/>
  <c r="AO22"/>
  <c r="AN22"/>
  <c r="AM22"/>
  <c r="AO21"/>
  <c r="AN21"/>
  <c r="AM21"/>
  <c r="BK20"/>
  <c r="AO20"/>
  <c r="AN20"/>
  <c r="AM20"/>
  <c r="BK19"/>
  <c r="AO19"/>
  <c r="AN19"/>
  <c r="AM19"/>
  <c r="K19"/>
  <c r="BK18"/>
  <c r="AO18"/>
  <c r="AN18"/>
  <c r="AM18"/>
  <c r="K18"/>
  <c r="BK17"/>
  <c r="AO17"/>
  <c r="AN17"/>
  <c r="AM17"/>
  <c r="K17"/>
  <c r="BK16"/>
  <c r="AO16"/>
  <c r="AN16"/>
  <c r="AM16"/>
  <c r="K16"/>
  <c r="BK15"/>
  <c r="AO15"/>
  <c r="AN15"/>
  <c r="AM15"/>
  <c r="K15"/>
  <c r="BK14"/>
  <c r="AO14"/>
  <c r="AN14"/>
  <c r="AM14"/>
  <c r="K14"/>
  <c r="BK13"/>
  <c r="AO13"/>
  <c r="AN13"/>
  <c r="AM13"/>
  <c r="K13"/>
  <c r="BK12"/>
  <c r="AO12"/>
  <c r="AN12"/>
  <c r="AM12"/>
  <c r="K12"/>
  <c r="BK11"/>
  <c r="AY11"/>
  <c r="BC11" s="1"/>
  <c r="P36" s="1"/>
  <c r="AO11"/>
  <c r="AN11"/>
  <c r="AM11"/>
  <c r="K11"/>
  <c r="BK10"/>
  <c r="AY10"/>
  <c r="A35" s="1"/>
  <c r="AO10"/>
  <c r="AN10"/>
  <c r="AM10"/>
  <c r="K10"/>
  <c r="BK9"/>
  <c r="AY9"/>
  <c r="BC9" s="1"/>
  <c r="P34" s="1"/>
  <c r="AO9"/>
  <c r="AN9"/>
  <c r="AM9"/>
  <c r="K9"/>
  <c r="BK8"/>
  <c r="AY8"/>
  <c r="A33" s="1"/>
  <c r="AO8"/>
  <c r="AN8"/>
  <c r="AM8"/>
  <c r="K8"/>
  <c r="BK7"/>
  <c r="AY7"/>
  <c r="BC7" s="1"/>
  <c r="P32" s="1"/>
  <c r="AO7"/>
  <c r="AN7"/>
  <c r="AM7"/>
  <c r="K7"/>
  <c r="BK6"/>
  <c r="AY6"/>
  <c r="A31" s="1"/>
  <c r="AO6"/>
  <c r="AN6"/>
  <c r="AM6"/>
  <c r="K6"/>
  <c r="BK5"/>
  <c r="AY5"/>
  <c r="BC5" s="1"/>
  <c r="P30" s="1"/>
  <c r="AO5"/>
  <c r="AN5"/>
  <c r="AM5"/>
  <c r="K5"/>
  <c r="AY4"/>
  <c r="BD4" s="1"/>
  <c r="AO4"/>
  <c r="AN4"/>
  <c r="AM4"/>
  <c r="K4"/>
  <c r="AY3"/>
  <c r="A28" s="1"/>
  <c r="AO3"/>
  <c r="AN3"/>
  <c r="AM3"/>
  <c r="BJ2"/>
  <c r="AY20" s="1"/>
  <c r="BH2"/>
  <c r="B26" s="1"/>
  <c r="AY2"/>
  <c r="AO2"/>
  <c r="AN2"/>
  <c r="E33" i="12" l="1"/>
  <c r="L33"/>
  <c r="P11" s="1"/>
  <c r="E31"/>
  <c r="L31"/>
  <c r="P9" s="1"/>
  <c r="E36"/>
  <c r="L36"/>
  <c r="E32"/>
  <c r="L32"/>
  <c r="E30"/>
  <c r="L30"/>
  <c r="P8" s="1"/>
  <c r="E35"/>
  <c r="L35"/>
  <c r="P13" s="1"/>
  <c r="E28"/>
  <c r="L28"/>
  <c r="P6" s="1"/>
  <c r="E41"/>
  <c r="L41"/>
  <c r="E34"/>
  <c r="L34"/>
  <c r="P12" s="1"/>
  <c r="E39"/>
  <c r="L39"/>
  <c r="Q39" s="1"/>
  <c r="E37"/>
  <c r="L37"/>
  <c r="E40"/>
  <c r="L40"/>
  <c r="E29"/>
  <c r="L29"/>
  <c r="P7" s="1"/>
  <c r="E38"/>
  <c r="L38"/>
  <c r="Q38" s="1"/>
  <c r="F34"/>
  <c r="M12" s="1"/>
  <c r="I34"/>
  <c r="F35"/>
  <c r="M13" s="1"/>
  <c r="F27"/>
  <c r="M5" s="1"/>
  <c r="E27"/>
  <c r="I27"/>
  <c r="I35"/>
  <c r="G28"/>
  <c r="F39"/>
  <c r="I28"/>
  <c r="H28"/>
  <c r="Q6" s="1"/>
  <c r="F28"/>
  <c r="M6" s="1"/>
  <c r="G39"/>
  <c r="I39"/>
  <c r="H39"/>
  <c r="Q17" s="1"/>
  <c r="I37"/>
  <c r="H37"/>
  <c r="Q15" s="1"/>
  <c r="G37"/>
  <c r="F37"/>
  <c r="M15" s="1"/>
  <c r="P15"/>
  <c r="H38"/>
  <c r="Q16" s="1"/>
  <c r="F32"/>
  <c r="M10" s="1"/>
  <c r="P10"/>
  <c r="H32"/>
  <c r="Q10" s="1"/>
  <c r="I32"/>
  <c r="G32"/>
  <c r="G41"/>
  <c r="F41"/>
  <c r="M19" s="1"/>
  <c r="P19"/>
  <c r="I41"/>
  <c r="H41"/>
  <c r="Q19" s="1"/>
  <c r="F38"/>
  <c r="M16" s="1"/>
  <c r="F36"/>
  <c r="M14" s="1"/>
  <c r="P14"/>
  <c r="I36"/>
  <c r="H36"/>
  <c r="Q14" s="1"/>
  <c r="G36"/>
  <c r="H29"/>
  <c r="Q7" s="1"/>
  <c r="G29"/>
  <c r="I29"/>
  <c r="F29"/>
  <c r="M7" s="1"/>
  <c r="I30"/>
  <c r="G30"/>
  <c r="H30"/>
  <c r="Q8" s="1"/>
  <c r="F30"/>
  <c r="M8" s="1"/>
  <c r="L27"/>
  <c r="P5" s="1"/>
  <c r="H27"/>
  <c r="Q5" s="1"/>
  <c r="G27"/>
  <c r="G35"/>
  <c r="H35"/>
  <c r="Q13" s="1"/>
  <c r="G31"/>
  <c r="F31"/>
  <c r="M9" s="1"/>
  <c r="H31"/>
  <c r="Q9" s="1"/>
  <c r="G38"/>
  <c r="I38"/>
  <c r="I31"/>
  <c r="G40"/>
  <c r="I40"/>
  <c r="H40"/>
  <c r="Q18" s="1"/>
  <c r="F40"/>
  <c r="M18" s="1"/>
  <c r="P18"/>
  <c r="H33"/>
  <c r="Q11" s="1"/>
  <c r="I33"/>
  <c r="F33"/>
  <c r="M11" s="1"/>
  <c r="G33"/>
  <c r="G34"/>
  <c r="H34"/>
  <c r="Q12" s="1"/>
  <c r="AM3" i="7"/>
  <c r="AW15"/>
  <c r="AW14"/>
  <c r="AK5"/>
  <c r="AM4"/>
  <c r="AW18"/>
  <c r="AW17"/>
  <c r="AW19"/>
  <c r="AW20"/>
  <c r="AW16"/>
  <c r="BD7" i="10"/>
  <c r="Q32" s="1"/>
  <c r="A32"/>
  <c r="H32" s="1"/>
  <c r="BD9"/>
  <c r="Q34" s="1"/>
  <c r="BD11"/>
  <c r="Q36" s="1"/>
  <c r="AY17"/>
  <c r="AZ17" s="1"/>
  <c r="N42" s="1"/>
  <c r="S42" s="1"/>
  <c r="A36"/>
  <c r="H36" s="1"/>
  <c r="BD6"/>
  <c r="Q31" s="1"/>
  <c r="AY19"/>
  <c r="A44" s="1"/>
  <c r="AY15"/>
  <c r="AZ15" s="1"/>
  <c r="N40" s="1"/>
  <c r="S40" s="1"/>
  <c r="A34"/>
  <c r="H34" s="1"/>
  <c r="AZ5"/>
  <c r="N30" s="1"/>
  <c r="S30" s="1"/>
  <c r="AZ8"/>
  <c r="AZ10"/>
  <c r="BD5"/>
  <c r="AZ6"/>
  <c r="AY14"/>
  <c r="A39" s="1"/>
  <c r="AY16"/>
  <c r="A41" s="1"/>
  <c r="AY18"/>
  <c r="A43" s="1"/>
  <c r="A30"/>
  <c r="H30" s="1"/>
  <c r="AZ7"/>
  <c r="BD8"/>
  <c r="AZ9"/>
  <c r="BD10"/>
  <c r="AZ11"/>
  <c r="A45"/>
  <c r="AZ20"/>
  <c r="Q29"/>
  <c r="BE4"/>
  <c r="C29" s="1"/>
  <c r="BA17"/>
  <c r="A27"/>
  <c r="BD2"/>
  <c r="AZ2"/>
  <c r="BD3"/>
  <c r="AZ3"/>
  <c r="AZ4"/>
  <c r="BB2"/>
  <c r="O27" s="1"/>
  <c r="W27" s="1"/>
  <c r="BB3"/>
  <c r="O28" s="1"/>
  <c r="W28" s="1"/>
  <c r="BC4"/>
  <c r="P29" s="1"/>
  <c r="BC2"/>
  <c r="P27" s="1"/>
  <c r="BC3"/>
  <c r="P28" s="1"/>
  <c r="H28" s="1"/>
  <c r="A29"/>
  <c r="BB4"/>
  <c r="O29" s="1"/>
  <c r="W29" s="1"/>
  <c r="BB5"/>
  <c r="O30" s="1"/>
  <c r="W30" s="1"/>
  <c r="BB6"/>
  <c r="O31" s="1"/>
  <c r="W31" s="1"/>
  <c r="BB7"/>
  <c r="O32" s="1"/>
  <c r="W32" s="1"/>
  <c r="BB8"/>
  <c r="O33" s="1"/>
  <c r="W33" s="1"/>
  <c r="BB9"/>
  <c r="O34" s="1"/>
  <c r="W34" s="1"/>
  <c r="BB10"/>
  <c r="O35" s="1"/>
  <c r="W35" s="1"/>
  <c r="BB11"/>
  <c r="O36" s="1"/>
  <c r="W36" s="1"/>
  <c r="BC6"/>
  <c r="P31" s="1"/>
  <c r="BC8"/>
  <c r="P33" s="1"/>
  <c r="BC10"/>
  <c r="P35" s="1"/>
  <c r="H35" s="1"/>
  <c r="O18" i="12" l="1"/>
  <c r="D40"/>
  <c r="O8"/>
  <c r="D30"/>
  <c r="O14"/>
  <c r="D36"/>
  <c r="O17"/>
  <c r="D39"/>
  <c r="O12"/>
  <c r="D34"/>
  <c r="O13"/>
  <c r="D35"/>
  <c r="O6"/>
  <c r="D28"/>
  <c r="O9"/>
  <c r="D31"/>
  <c r="O7"/>
  <c r="D29"/>
  <c r="O19"/>
  <c r="D41"/>
  <c r="O11"/>
  <c r="D33"/>
  <c r="O16"/>
  <c r="D38"/>
  <c r="O5"/>
  <c r="D27"/>
  <c r="O10"/>
  <c r="D32"/>
  <c r="O15"/>
  <c r="D37"/>
  <c r="P16"/>
  <c r="P17"/>
  <c r="M17"/>
  <c r="Q28"/>
  <c r="K39"/>
  <c r="Q40"/>
  <c r="K38"/>
  <c r="K41"/>
  <c r="K35"/>
  <c r="K37"/>
  <c r="K36"/>
  <c r="Q41"/>
  <c r="K40"/>
  <c r="Q37"/>
  <c r="AM5" i="7"/>
  <c r="AK6"/>
  <c r="A44"/>
  <c r="A40"/>
  <c r="A42"/>
  <c r="A41"/>
  <c r="A43"/>
  <c r="A45"/>
  <c r="A39"/>
  <c r="A42" i="10"/>
  <c r="F42" s="1"/>
  <c r="BE7"/>
  <c r="C32" s="1"/>
  <c r="AZ19"/>
  <c r="N44" s="1"/>
  <c r="S44" s="1"/>
  <c r="BE11"/>
  <c r="C36" s="1"/>
  <c r="A40"/>
  <c r="K40" s="1"/>
  <c r="BA15"/>
  <c r="BB15" s="1"/>
  <c r="AZ14"/>
  <c r="N39" s="1"/>
  <c r="S39" s="1"/>
  <c r="BA5"/>
  <c r="D30" s="1"/>
  <c r="BE9"/>
  <c r="C34" s="1"/>
  <c r="F36"/>
  <c r="F34"/>
  <c r="F35"/>
  <c r="BE6"/>
  <c r="C31" s="1"/>
  <c r="N34"/>
  <c r="S34" s="1"/>
  <c r="BA9"/>
  <c r="D34" s="1"/>
  <c r="Q33"/>
  <c r="BE8"/>
  <c r="C33" s="1"/>
  <c r="N35"/>
  <c r="S35" s="1"/>
  <c r="BA10"/>
  <c r="D35" s="1"/>
  <c r="AZ18"/>
  <c r="BA18" s="1"/>
  <c r="AZ16"/>
  <c r="BA16" s="1"/>
  <c r="N36"/>
  <c r="S36" s="1"/>
  <c r="BA11"/>
  <c r="D36" s="1"/>
  <c r="N32"/>
  <c r="S32" s="1"/>
  <c r="BA7"/>
  <c r="D32" s="1"/>
  <c r="N31"/>
  <c r="S31" s="1"/>
  <c r="L31" s="1"/>
  <c r="BA6"/>
  <c r="D31" s="1"/>
  <c r="N33"/>
  <c r="S33" s="1"/>
  <c r="BA8"/>
  <c r="D33" s="1"/>
  <c r="Q35"/>
  <c r="BE10"/>
  <c r="C35" s="1"/>
  <c r="Q30"/>
  <c r="BE5"/>
  <c r="C30" s="1"/>
  <c r="AD33"/>
  <c r="AD36"/>
  <c r="AD32"/>
  <c r="F32"/>
  <c r="F33"/>
  <c r="BA3"/>
  <c r="D28" s="1"/>
  <c r="N28"/>
  <c r="S28" s="1"/>
  <c r="H27"/>
  <c r="F27"/>
  <c r="L45"/>
  <c r="H45"/>
  <c r="J45"/>
  <c r="I45"/>
  <c r="F45"/>
  <c r="K45"/>
  <c r="H31"/>
  <c r="AD35"/>
  <c r="AD31"/>
  <c r="AD28"/>
  <c r="BE3"/>
  <c r="C28" s="1"/>
  <c r="Q28"/>
  <c r="K42"/>
  <c r="I42"/>
  <c r="J42"/>
  <c r="F28"/>
  <c r="H33"/>
  <c r="AD34"/>
  <c r="AD30"/>
  <c r="AD29"/>
  <c r="F30"/>
  <c r="F31"/>
  <c r="AD27"/>
  <c r="BA2"/>
  <c r="D27" s="1"/>
  <c r="N27"/>
  <c r="S27" s="1"/>
  <c r="I40"/>
  <c r="H40"/>
  <c r="J43"/>
  <c r="L43"/>
  <c r="H43"/>
  <c r="I43"/>
  <c r="F43"/>
  <c r="K43"/>
  <c r="L41"/>
  <c r="H41"/>
  <c r="J41"/>
  <c r="I41"/>
  <c r="F41"/>
  <c r="K41"/>
  <c r="H29"/>
  <c r="F29"/>
  <c r="BA4"/>
  <c r="D29" s="1"/>
  <c r="N29"/>
  <c r="S29" s="1"/>
  <c r="Q27"/>
  <c r="BE2"/>
  <c r="C27" s="1"/>
  <c r="I44"/>
  <c r="K44"/>
  <c r="F44"/>
  <c r="H44"/>
  <c r="L44"/>
  <c r="J44"/>
  <c r="D42"/>
  <c r="BB17"/>
  <c r="BA20"/>
  <c r="N45"/>
  <c r="S45" s="1"/>
  <c r="S40" i="12" l="1"/>
  <c r="R14"/>
  <c r="U39"/>
  <c r="R13"/>
  <c r="U38"/>
  <c r="J40" i="10"/>
  <c r="H42"/>
  <c r="F40"/>
  <c r="L42"/>
  <c r="S18" i="12"/>
  <c r="U17"/>
  <c r="U16"/>
  <c r="R16"/>
  <c r="R19"/>
  <c r="R18"/>
  <c r="N43" i="10"/>
  <c r="S43" s="1"/>
  <c r="D40"/>
  <c r="BA19"/>
  <c r="D44" s="1"/>
  <c r="BA14"/>
  <c r="D39" s="1"/>
  <c r="AM6" i="7"/>
  <c r="AK7"/>
  <c r="H45"/>
  <c r="J45"/>
  <c r="F45"/>
  <c r="G45"/>
  <c r="I45"/>
  <c r="H43"/>
  <c r="J43"/>
  <c r="F43"/>
  <c r="G43"/>
  <c r="I43"/>
  <c r="J40"/>
  <c r="F40"/>
  <c r="H40"/>
  <c r="I40"/>
  <c r="G40"/>
  <c r="H39"/>
  <c r="F39"/>
  <c r="G39"/>
  <c r="J39"/>
  <c r="I39"/>
  <c r="H41"/>
  <c r="J41"/>
  <c r="F41"/>
  <c r="G41"/>
  <c r="I41"/>
  <c r="J42"/>
  <c r="F42"/>
  <c r="H42"/>
  <c r="I42"/>
  <c r="G42"/>
  <c r="J44"/>
  <c r="F44"/>
  <c r="H44"/>
  <c r="I44"/>
  <c r="G44"/>
  <c r="AJ33" i="10"/>
  <c r="AE33"/>
  <c r="L40"/>
  <c r="J33"/>
  <c r="K33"/>
  <c r="AH31"/>
  <c r="K31"/>
  <c r="AI33"/>
  <c r="AF29"/>
  <c r="N41"/>
  <c r="S41" s="1"/>
  <c r="L33"/>
  <c r="I36"/>
  <c r="I35"/>
  <c r="AI30"/>
  <c r="I33"/>
  <c r="J31"/>
  <c r="AI29"/>
  <c r="AJ29"/>
  <c r="AE29"/>
  <c r="I29"/>
  <c r="D45"/>
  <c r="BB20"/>
  <c r="D43"/>
  <c r="BB18"/>
  <c r="D41"/>
  <c r="BB16"/>
  <c r="O42"/>
  <c r="BC17"/>
  <c r="O40"/>
  <c r="BC15"/>
  <c r="BB14"/>
  <c r="W38" i="12" l="1"/>
  <c r="BB19" i="10"/>
  <c r="O44" s="1"/>
  <c r="I31"/>
  <c r="AI31"/>
  <c r="T41" i="12"/>
  <c r="T19"/>
  <c r="S41"/>
  <c r="S19"/>
  <c r="U41"/>
  <c r="U19"/>
  <c r="T40"/>
  <c r="T18"/>
  <c r="U40"/>
  <c r="U18"/>
  <c r="S39"/>
  <c r="S17"/>
  <c r="T39"/>
  <c r="T17"/>
  <c r="R39"/>
  <c r="R17"/>
  <c r="S38"/>
  <c r="S16"/>
  <c r="T38"/>
  <c r="T16"/>
  <c r="W39"/>
  <c r="V39"/>
  <c r="R38"/>
  <c r="V38"/>
  <c r="T15"/>
  <c r="T37"/>
  <c r="S37"/>
  <c r="S15"/>
  <c r="R41"/>
  <c r="V41"/>
  <c r="W41"/>
  <c r="U15"/>
  <c r="U37"/>
  <c r="W40"/>
  <c r="R40"/>
  <c r="V40"/>
  <c r="W37"/>
  <c r="V37"/>
  <c r="R15"/>
  <c r="R37"/>
  <c r="AC37" i="10"/>
  <c r="AB37"/>
  <c r="AG33"/>
  <c r="J29"/>
  <c r="AH33"/>
  <c r="AF33"/>
  <c r="AK8" i="7"/>
  <c r="AM7"/>
  <c r="AJ31" i="10"/>
  <c r="AE31"/>
  <c r="AG31"/>
  <c r="AH36"/>
  <c r="L36"/>
  <c r="L35"/>
  <c r="AH35"/>
  <c r="AG36"/>
  <c r="K36"/>
  <c r="AG35"/>
  <c r="K35"/>
  <c r="AF36"/>
  <c r="J36"/>
  <c r="AF35"/>
  <c r="J35"/>
  <c r="K34"/>
  <c r="AG34"/>
  <c r="K32"/>
  <c r="AG32"/>
  <c r="J30"/>
  <c r="AF30"/>
  <c r="AE35"/>
  <c r="AJ35"/>
  <c r="AI35"/>
  <c r="J34"/>
  <c r="AF34"/>
  <c r="AA37"/>
  <c r="AF31"/>
  <c r="I34"/>
  <c r="AI34"/>
  <c r="AE34"/>
  <c r="Z37"/>
  <c r="AJ34"/>
  <c r="J32"/>
  <c r="AF32"/>
  <c r="AH29"/>
  <c r="L29"/>
  <c r="AE30"/>
  <c r="I30"/>
  <c r="AJ30"/>
  <c r="AI32"/>
  <c r="AE32"/>
  <c r="AJ32"/>
  <c r="I32"/>
  <c r="L30"/>
  <c r="AH30"/>
  <c r="L34"/>
  <c r="AH34"/>
  <c r="L32"/>
  <c r="AH32"/>
  <c r="K30"/>
  <c r="AG30"/>
  <c r="K29"/>
  <c r="AG29"/>
  <c r="AE36"/>
  <c r="AJ36"/>
  <c r="AI36"/>
  <c r="J28"/>
  <c r="AF28"/>
  <c r="O43"/>
  <c r="BC18"/>
  <c r="AI27"/>
  <c r="AJ27"/>
  <c r="Z26"/>
  <c r="AE27"/>
  <c r="I27"/>
  <c r="O41"/>
  <c r="BC16"/>
  <c r="AA26"/>
  <c r="AF27"/>
  <c r="J27"/>
  <c r="P40"/>
  <c r="BD15"/>
  <c r="AJ28"/>
  <c r="AI28"/>
  <c r="I28"/>
  <c r="AE28"/>
  <c r="AC26"/>
  <c r="L27"/>
  <c r="AH27"/>
  <c r="O39"/>
  <c r="F39" s="1"/>
  <c r="BC14"/>
  <c r="K28"/>
  <c r="AG28"/>
  <c r="BC19"/>
  <c r="P42"/>
  <c r="BD17"/>
  <c r="L28"/>
  <c r="AH28"/>
  <c r="AB26"/>
  <c r="K27"/>
  <c r="AG27"/>
  <c r="O45"/>
  <c r="BC20"/>
  <c r="AK9" i="7" l="1"/>
  <c r="AM8"/>
  <c r="Q40" i="10"/>
  <c r="BE15"/>
  <c r="C40" s="1"/>
  <c r="P43"/>
  <c r="BD18"/>
  <c r="Q42"/>
  <c r="BE17"/>
  <c r="C42" s="1"/>
  <c r="P41"/>
  <c r="BD16"/>
  <c r="P45"/>
  <c r="BD20"/>
  <c r="P44"/>
  <c r="BD19"/>
  <c r="P39"/>
  <c r="H39" s="1"/>
  <c r="BD14"/>
  <c r="AK10" i="7" l="1"/>
  <c r="AM9"/>
  <c r="Q39" i="10"/>
  <c r="BE14"/>
  <c r="C39" s="1"/>
  <c r="Q44"/>
  <c r="BE19"/>
  <c r="C44" s="1"/>
  <c r="Q41"/>
  <c r="BE16"/>
  <c r="C41" s="1"/>
  <c r="Q43"/>
  <c r="BE18"/>
  <c r="C43" s="1"/>
  <c r="Q45"/>
  <c r="BE20"/>
  <c r="C45" s="1"/>
  <c r="AM10" i="7" l="1"/>
  <c r="AK11"/>
  <c r="I39" i="10"/>
  <c r="K39"/>
  <c r="J39"/>
  <c r="L39"/>
  <c r="AK12" i="7" l="1"/>
  <c r="AM11"/>
  <c r="AK13" l="1"/>
  <c r="AM12"/>
  <c r="AM13" l="1"/>
  <c r="AK14"/>
  <c r="AM14" l="1"/>
  <c r="AK15"/>
  <c r="AK16" l="1"/>
  <c r="AM15"/>
  <c r="AK17" l="1"/>
  <c r="AM16"/>
  <c r="AK18" l="1"/>
  <c r="AM17"/>
  <c r="AM18" l="1"/>
  <c r="AK19"/>
  <c r="AK20" l="1"/>
  <c r="AM19"/>
  <c r="AK21" l="1"/>
  <c r="AM20"/>
  <c r="AM21" l="1"/>
  <c r="AK22"/>
  <c r="AM22" l="1"/>
  <c r="AK23"/>
  <c r="AK24" l="1"/>
  <c r="AM23"/>
  <c r="AK25" l="1"/>
  <c r="AM24"/>
  <c r="AK26" l="1"/>
  <c r="AM25"/>
  <c r="AM26" l="1"/>
  <c r="AK27"/>
  <c r="AK28" l="1"/>
  <c r="AM27"/>
  <c r="AK29" l="1"/>
  <c r="AM28"/>
  <c r="AM29" l="1"/>
  <c r="AK30"/>
  <c r="AM30" l="1"/>
  <c r="AK31"/>
  <c r="AK32" l="1"/>
  <c r="AM31"/>
  <c r="AK33" l="1"/>
  <c r="AM32"/>
  <c r="AK34" l="1"/>
  <c r="AM33"/>
  <c r="AM34" l="1"/>
  <c r="AK35"/>
  <c r="AK36" l="1"/>
  <c r="AM35"/>
  <c r="AK37" l="1"/>
  <c r="AM36"/>
  <c r="AK38" l="1"/>
  <c r="AM37"/>
  <c r="AM38" l="1"/>
  <c r="AK39"/>
  <c r="AK40" l="1"/>
  <c r="AM39"/>
  <c r="AK41" l="1"/>
  <c r="AM40"/>
  <c r="AM41" l="1"/>
  <c r="AK42"/>
  <c r="AM42" l="1"/>
  <c r="AK43"/>
  <c r="AK44" l="1"/>
  <c r="AM43"/>
  <c r="AK45" l="1"/>
  <c r="AM44"/>
  <c r="AK46" l="1"/>
  <c r="AM45"/>
  <c r="AM46" l="1"/>
  <c r="AK47"/>
  <c r="AK48" l="1"/>
  <c r="AM47"/>
  <c r="AK49" l="1"/>
  <c r="AM48"/>
  <c r="AM49" l="1"/>
  <c r="AK50"/>
  <c r="AM50" l="1"/>
  <c r="AK51"/>
  <c r="AK52" l="1"/>
  <c r="AM51"/>
  <c r="AK53" l="1"/>
  <c r="AM52"/>
  <c r="AK54" l="1"/>
  <c r="AM53"/>
  <c r="AM54" l="1"/>
  <c r="AK55"/>
  <c r="AK56" l="1"/>
  <c r="AM55"/>
  <c r="AK57" l="1"/>
  <c r="AM56"/>
  <c r="AK58" l="1"/>
  <c r="AM57"/>
  <c r="AM58" l="1"/>
  <c r="AK59"/>
  <c r="AK60" l="1"/>
  <c r="AM59"/>
  <c r="AK61" l="1"/>
  <c r="AM60"/>
  <c r="AM61" l="1"/>
  <c r="AK62"/>
  <c r="AM62" l="1"/>
  <c r="AK63"/>
  <c r="AK64" l="1"/>
  <c r="AM63"/>
  <c r="AK65" l="1"/>
  <c r="AM64"/>
  <c r="K32" i="12" l="1"/>
  <c r="K31"/>
  <c r="K29"/>
  <c r="K30"/>
  <c r="K27"/>
  <c r="K28"/>
  <c r="AK66" i="7"/>
  <c r="AM65"/>
  <c r="BA3"/>
  <c r="M28" s="1"/>
  <c r="AX4"/>
  <c r="AZ2"/>
  <c r="L27" s="1"/>
  <c r="BB6"/>
  <c r="AX5"/>
  <c r="BB4"/>
  <c r="BA6"/>
  <c r="M31" s="1"/>
  <c r="AX2"/>
  <c r="BA2"/>
  <c r="M27" s="1"/>
  <c r="AZ5"/>
  <c r="L30" s="1"/>
  <c r="AZ3"/>
  <c r="L28" s="1"/>
  <c r="BA4"/>
  <c r="M29" s="1"/>
  <c r="AZ6"/>
  <c r="L31" s="1"/>
  <c r="BB3"/>
  <c r="BA5"/>
  <c r="M30" s="1"/>
  <c r="BB2"/>
  <c r="AX6"/>
  <c r="AZ4"/>
  <c r="L29" s="1"/>
  <c r="AX3"/>
  <c r="BB5"/>
  <c r="R9" i="12" l="1"/>
  <c r="S9"/>
  <c r="T9"/>
  <c r="U9"/>
  <c r="R7"/>
  <c r="U7"/>
  <c r="T7"/>
  <c r="U8"/>
  <c r="R8"/>
  <c r="T8"/>
  <c r="S8"/>
  <c r="U5"/>
  <c r="R5"/>
  <c r="R10"/>
  <c r="R6"/>
  <c r="O28" i="7"/>
  <c r="R28" s="1"/>
  <c r="Q27" i="12"/>
  <c r="S7"/>
  <c r="Q30"/>
  <c r="Q32"/>
  <c r="T5"/>
  <c r="Q31"/>
  <c r="Q29"/>
  <c r="O29" i="7"/>
  <c r="R29" s="1"/>
  <c r="O30"/>
  <c r="R30" s="1"/>
  <c r="O31"/>
  <c r="F31" s="1"/>
  <c r="N28"/>
  <c r="BC3"/>
  <c r="C28" s="1"/>
  <c r="F30"/>
  <c r="BC4"/>
  <c r="C29" s="1"/>
  <c r="N29"/>
  <c r="AY4"/>
  <c r="D29" s="1"/>
  <c r="K29"/>
  <c r="Q29" s="1"/>
  <c r="K31"/>
  <c r="Q31" s="1"/>
  <c r="AY6"/>
  <c r="D31" s="1"/>
  <c r="AY5"/>
  <c r="D30" s="1"/>
  <c r="K30"/>
  <c r="Q30" s="1"/>
  <c r="BC5"/>
  <c r="C30" s="1"/>
  <c r="N30"/>
  <c r="N27"/>
  <c r="BC2"/>
  <c r="C27" s="1"/>
  <c r="AY2"/>
  <c r="D27" s="1"/>
  <c r="K27"/>
  <c r="Q27" s="1"/>
  <c r="BC6"/>
  <c r="C31" s="1"/>
  <c r="N31"/>
  <c r="K28"/>
  <c r="Q28" s="1"/>
  <c r="AY3"/>
  <c r="D28" s="1"/>
  <c r="F28"/>
  <c r="O27"/>
  <c r="AM66"/>
  <c r="AK67"/>
  <c r="AB31" l="1"/>
  <c r="R31"/>
  <c r="T28" i="12"/>
  <c r="T6"/>
  <c r="U28"/>
  <c r="U6"/>
  <c r="T32"/>
  <c r="T10"/>
  <c r="S28"/>
  <c r="S6"/>
  <c r="S32"/>
  <c r="S10"/>
  <c r="U32"/>
  <c r="U10"/>
  <c r="S27"/>
  <c r="S5"/>
  <c r="AB28" i="7"/>
  <c r="V28" i="12"/>
  <c r="R28"/>
  <c r="W28"/>
  <c r="V31"/>
  <c r="W31"/>
  <c r="W32"/>
  <c r="V32"/>
  <c r="W30"/>
  <c r="V30"/>
  <c r="V27"/>
  <c r="W27"/>
  <c r="V29"/>
  <c r="W29"/>
  <c r="R31"/>
  <c r="R30"/>
  <c r="U31"/>
  <c r="S29"/>
  <c r="T30"/>
  <c r="T29"/>
  <c r="U29"/>
  <c r="S31"/>
  <c r="P26"/>
  <c r="O26"/>
  <c r="U27"/>
  <c r="M26"/>
  <c r="S30"/>
  <c r="R27"/>
  <c r="R29"/>
  <c r="T31"/>
  <c r="N26"/>
  <c r="R32"/>
  <c r="U30"/>
  <c r="T27"/>
  <c r="AB29" i="7"/>
  <c r="F29"/>
  <c r="AB30"/>
  <c r="S31"/>
  <c r="U31" s="1"/>
  <c r="W31"/>
  <c r="V31"/>
  <c r="AC27"/>
  <c r="AK68"/>
  <c r="AM67"/>
  <c r="S28"/>
  <c r="U28" s="1"/>
  <c r="W28"/>
  <c r="V28"/>
  <c r="AE27"/>
  <c r="AB27"/>
  <c r="R27"/>
  <c r="F27"/>
  <c r="W29"/>
  <c r="V29"/>
  <c r="S29"/>
  <c r="U29" s="1"/>
  <c r="W30"/>
  <c r="V30"/>
  <c r="S30"/>
  <c r="U30" s="1"/>
  <c r="AH30" s="1"/>
  <c r="AH29" l="1"/>
  <c r="G31"/>
  <c r="AC31"/>
  <c r="G30"/>
  <c r="AC30"/>
  <c r="AF27"/>
  <c r="J27"/>
  <c r="AA26"/>
  <c r="G28"/>
  <c r="AC28"/>
  <c r="H31"/>
  <c r="AD31"/>
  <c r="H30"/>
  <c r="AD30"/>
  <c r="X26"/>
  <c r="G27"/>
  <c r="H28"/>
  <c r="AD28"/>
  <c r="H29"/>
  <c r="AD29"/>
  <c r="J30"/>
  <c r="AF30"/>
  <c r="AH28"/>
  <c r="AD27"/>
  <c r="Y26"/>
  <c r="H27"/>
  <c r="J28"/>
  <c r="AF28"/>
  <c r="J29"/>
  <c r="AF29"/>
  <c r="AK69"/>
  <c r="AM68"/>
  <c r="AH31"/>
  <c r="G29"/>
  <c r="AC29"/>
  <c r="AG28"/>
  <c r="I31"/>
  <c r="AE31"/>
  <c r="V27"/>
  <c r="S27"/>
  <c r="U27" s="1"/>
  <c r="AH27" s="1"/>
  <c r="W27"/>
  <c r="I28"/>
  <c r="AE28"/>
  <c r="AG30"/>
  <c r="AG29"/>
  <c r="AF31"/>
  <c r="J31"/>
  <c r="I29"/>
  <c r="AE29"/>
  <c r="I30"/>
  <c r="AE30"/>
  <c r="Z26"/>
  <c r="I27"/>
  <c r="AG31"/>
  <c r="AG27" l="1"/>
  <c r="AM69"/>
  <c r="AK70"/>
  <c r="AM70" l="1"/>
  <c r="AK71"/>
  <c r="AK72" l="1"/>
  <c r="AM71"/>
  <c r="AK73" l="1"/>
  <c r="AM72"/>
  <c r="AK74" l="1"/>
  <c r="AM73"/>
  <c r="AM74" l="1"/>
  <c r="AK75"/>
  <c r="AK76" l="1"/>
  <c r="AM75"/>
  <c r="AK77" l="1"/>
  <c r="AM76"/>
  <c r="AK78" l="1"/>
  <c r="AM77"/>
  <c r="AM78" l="1"/>
  <c r="AK79"/>
  <c r="AK80" l="1"/>
  <c r="AM79"/>
  <c r="AK81" l="1"/>
  <c r="AM80"/>
  <c r="AM81" l="1"/>
  <c r="AK82"/>
  <c r="AM82" l="1"/>
  <c r="AK83"/>
  <c r="AK84" l="1"/>
  <c r="AM83"/>
  <c r="AM84" l="1"/>
  <c r="AK85"/>
  <c r="AK86" l="1"/>
  <c r="AM85"/>
  <c r="AM86" l="1"/>
  <c r="AK87"/>
  <c r="AK88" l="1"/>
  <c r="AM87"/>
  <c r="AM88" l="1"/>
  <c r="AK89"/>
  <c r="AK90" l="1"/>
  <c r="AM89"/>
  <c r="AM90" l="1"/>
  <c r="AK91"/>
  <c r="AK92" l="1"/>
  <c r="AM91"/>
  <c r="AM92" l="1"/>
  <c r="AK93"/>
  <c r="AK94" l="1"/>
  <c r="AM93"/>
  <c r="AM94" l="1"/>
  <c r="AK95"/>
  <c r="AK96" l="1"/>
  <c r="AM95"/>
  <c r="AM96" l="1"/>
  <c r="AK97"/>
  <c r="AK98" l="1"/>
  <c r="AM97"/>
  <c r="AM98" l="1"/>
  <c r="AK99"/>
  <c r="AK100" l="1"/>
  <c r="AM99"/>
  <c r="AM100" l="1"/>
  <c r="AK101"/>
  <c r="AK102" l="1"/>
  <c r="AM101"/>
  <c r="AM102" l="1"/>
  <c r="AK103"/>
  <c r="AK104" l="1"/>
  <c r="AM103"/>
  <c r="AM104" l="1"/>
  <c r="AK105"/>
  <c r="AK106" l="1"/>
  <c r="AM105"/>
  <c r="AM106" l="1"/>
  <c r="AK107"/>
  <c r="AK108" l="1"/>
  <c r="AM107"/>
  <c r="AM108" l="1"/>
  <c r="AK109"/>
  <c r="AM109" s="1"/>
  <c r="Q36" i="12" l="1"/>
  <c r="Q33"/>
  <c r="Q34"/>
  <c r="Q35"/>
  <c r="K34"/>
  <c r="K33"/>
  <c r="BB8" i="7"/>
  <c r="BA8"/>
  <c r="M33" s="1"/>
  <c r="AX17"/>
  <c r="AZ11"/>
  <c r="L36" s="1"/>
  <c r="BA11"/>
  <c r="M36" s="1"/>
  <c r="AZ9"/>
  <c r="L34" s="1"/>
  <c r="AX15"/>
  <c r="BB9"/>
  <c r="BA10"/>
  <c r="M35" s="1"/>
  <c r="AZ8"/>
  <c r="L33" s="1"/>
  <c r="AX20"/>
  <c r="BA7"/>
  <c r="M32" s="1"/>
  <c r="AX8"/>
  <c r="AX19"/>
  <c r="BB10"/>
  <c r="AX11"/>
  <c r="AX9"/>
  <c r="BB7"/>
  <c r="AZ10"/>
  <c r="L35" s="1"/>
  <c r="AX14"/>
  <c r="AZ7"/>
  <c r="L32" s="1"/>
  <c r="AX16"/>
  <c r="AX18"/>
  <c r="BB11"/>
  <c r="AX7"/>
  <c r="BA9"/>
  <c r="M34" s="1"/>
  <c r="AX10"/>
  <c r="U12" i="12" l="1"/>
  <c r="R12"/>
  <c r="S12"/>
  <c r="T12"/>
  <c r="R11"/>
  <c r="T14"/>
  <c r="U14"/>
  <c r="S14"/>
  <c r="U13"/>
  <c r="S13"/>
  <c r="T13"/>
  <c r="BC11" i="7"/>
  <c r="C36" s="1"/>
  <c r="N36"/>
  <c r="AY14"/>
  <c r="K39"/>
  <c r="Q39" s="1"/>
  <c r="AY11"/>
  <c r="D36" s="1"/>
  <c r="K36"/>
  <c r="Q36" s="1"/>
  <c r="BC9"/>
  <c r="C34" s="1"/>
  <c r="N34"/>
  <c r="O36"/>
  <c r="F36" s="1"/>
  <c r="AY10"/>
  <c r="D35" s="1"/>
  <c r="K35"/>
  <c r="Q35" s="1"/>
  <c r="AY18"/>
  <c r="K43"/>
  <c r="Q43" s="1"/>
  <c r="O35"/>
  <c r="F35" s="1"/>
  <c r="BC10"/>
  <c r="C35" s="1"/>
  <c r="N35"/>
  <c r="AY20"/>
  <c r="K45"/>
  <c r="Q45" s="1"/>
  <c r="AY15"/>
  <c r="K40"/>
  <c r="Q40" s="1"/>
  <c r="AY17"/>
  <c r="K42"/>
  <c r="Q42" s="1"/>
  <c r="AY16"/>
  <c r="K41"/>
  <c r="Q41" s="1"/>
  <c r="BC7"/>
  <c r="C32" s="1"/>
  <c r="N32"/>
  <c r="AY19"/>
  <c r="K44"/>
  <c r="Q44" s="1"/>
  <c r="O33"/>
  <c r="F33" s="1"/>
  <c r="O34"/>
  <c r="F34" s="1"/>
  <c r="AY7"/>
  <c r="D32" s="1"/>
  <c r="K32"/>
  <c r="Q32" s="1"/>
  <c r="O32"/>
  <c r="F32" s="1"/>
  <c r="AY9"/>
  <c r="D34" s="1"/>
  <c r="K34"/>
  <c r="Q34" s="1"/>
  <c r="AY8"/>
  <c r="D33" s="1"/>
  <c r="K33"/>
  <c r="Q33" s="1"/>
  <c r="BC8"/>
  <c r="C33" s="1"/>
  <c r="N33"/>
  <c r="M42" i="12" l="1"/>
  <c r="O42"/>
  <c r="N42"/>
  <c r="P42"/>
  <c r="T11"/>
  <c r="U11"/>
  <c r="S11"/>
  <c r="V33"/>
  <c r="W33"/>
  <c r="V35"/>
  <c r="W35"/>
  <c r="W36"/>
  <c r="V36"/>
  <c r="W34"/>
  <c r="V34"/>
  <c r="U33"/>
  <c r="T34"/>
  <c r="U35"/>
  <c r="S33"/>
  <c r="T36"/>
  <c r="S35"/>
  <c r="T33"/>
  <c r="S36"/>
  <c r="S34"/>
  <c r="T35"/>
  <c r="U36"/>
  <c r="U34"/>
  <c r="R33"/>
  <c r="R36"/>
  <c r="R34"/>
  <c r="R35"/>
  <c r="AZ16" i="7"/>
  <c r="D41"/>
  <c r="AZ15"/>
  <c r="D40"/>
  <c r="AZ18"/>
  <c r="D43"/>
  <c r="AZ17"/>
  <c r="D42"/>
  <c r="AZ20"/>
  <c r="D45"/>
  <c r="AZ14"/>
  <c r="D39"/>
  <c r="AZ19"/>
  <c r="D44"/>
  <c r="R33"/>
  <c r="AB33"/>
  <c r="H32"/>
  <c r="AB35"/>
  <c r="R35"/>
  <c r="AB32"/>
  <c r="AD32"/>
  <c r="R32"/>
  <c r="AB34"/>
  <c r="R34"/>
  <c r="AB36"/>
  <c r="R36"/>
  <c r="X37"/>
  <c r="AC36" l="1"/>
  <c r="G36"/>
  <c r="AD34"/>
  <c r="H34"/>
  <c r="AD36"/>
  <c r="H36"/>
  <c r="AC35"/>
  <c r="G35"/>
  <c r="AE36"/>
  <c r="I36"/>
  <c r="AE35"/>
  <c r="I35"/>
  <c r="AF34"/>
  <c r="J34"/>
  <c r="AF36"/>
  <c r="J36"/>
  <c r="AF35"/>
  <c r="J35"/>
  <c r="AC34"/>
  <c r="G34"/>
  <c r="AD35"/>
  <c r="H35"/>
  <c r="AE34"/>
  <c r="I34"/>
  <c r="AF32"/>
  <c r="J32"/>
  <c r="AF33"/>
  <c r="J33"/>
  <c r="AA37"/>
  <c r="AD33"/>
  <c r="H33"/>
  <c r="Y37"/>
  <c r="AE32"/>
  <c r="I32"/>
  <c r="AE33"/>
  <c r="I33"/>
  <c r="Z37"/>
  <c r="AC32"/>
  <c r="G32"/>
  <c r="AC33"/>
  <c r="G33"/>
  <c r="L45"/>
  <c r="BA20"/>
  <c r="L43"/>
  <c r="BA18"/>
  <c r="BA14"/>
  <c r="L39"/>
  <c r="BA17"/>
  <c r="L42"/>
  <c r="BA15"/>
  <c r="L40"/>
  <c r="W34"/>
  <c r="S34"/>
  <c r="U34" s="1"/>
  <c r="AH34" s="1"/>
  <c r="V34"/>
  <c r="BA19"/>
  <c r="L44"/>
  <c r="L41"/>
  <c r="BA16"/>
  <c r="W33"/>
  <c r="V33"/>
  <c r="S33"/>
  <c r="U33" s="1"/>
  <c r="AG33" s="1"/>
  <c r="W36"/>
  <c r="V36"/>
  <c r="S36"/>
  <c r="U36" s="1"/>
  <c r="AG36" s="1"/>
  <c r="S32"/>
  <c r="U32" s="1"/>
  <c r="AG32"/>
  <c r="V32"/>
  <c r="W32"/>
  <c r="AH32"/>
  <c r="S35"/>
  <c r="U35" s="1"/>
  <c r="AG35" s="1"/>
  <c r="W35"/>
  <c r="V35"/>
  <c r="AG34" l="1"/>
  <c r="AH35"/>
  <c r="AH36"/>
  <c r="AH33"/>
  <c r="M40"/>
  <c r="O40" s="1"/>
  <c r="BB15"/>
  <c r="BB19"/>
  <c r="M44"/>
  <c r="O44" s="1"/>
  <c r="M43"/>
  <c r="O43" s="1"/>
  <c r="BB18"/>
  <c r="BB16"/>
  <c r="M41"/>
  <c r="O41" s="1"/>
  <c r="M42"/>
  <c r="O42" s="1"/>
  <c r="BB17"/>
  <c r="M39"/>
  <c r="O39" s="1"/>
  <c r="BB14"/>
  <c r="M45"/>
  <c r="O45" s="1"/>
  <c r="BB20"/>
  <c r="BC20" l="1"/>
  <c r="C45" s="1"/>
  <c r="N45"/>
  <c r="N41"/>
  <c r="BC16"/>
  <c r="C41" s="1"/>
  <c r="BC19"/>
  <c r="C44" s="1"/>
  <c r="N44"/>
  <c r="BC14"/>
  <c r="C39" s="1"/>
  <c r="N39"/>
  <c r="BC17"/>
  <c r="C42" s="1"/>
  <c r="N42"/>
  <c r="N43"/>
  <c r="BC18"/>
  <c r="C43" s="1"/>
  <c r="N40"/>
  <c r="BC15"/>
  <c r="C40" s="1"/>
</calcChain>
</file>

<file path=xl/sharedStrings.xml><?xml version="1.0" encoding="utf-8"?>
<sst xmlns="http://schemas.openxmlformats.org/spreadsheetml/2006/main" count="1010" uniqueCount="215">
  <si>
    <t>ピクシー</t>
  </si>
  <si>
    <t>HP</t>
    <phoneticPr fontId="2"/>
  </si>
  <si>
    <t>神経耐性</t>
    <rPh sb="0" eb="2">
      <t>シンケイ</t>
    </rPh>
    <rPh sb="2" eb="4">
      <t>タイセイ</t>
    </rPh>
    <phoneticPr fontId="2"/>
  </si>
  <si>
    <t>グラフ用</t>
    <rPh sb="3" eb="4">
      <t>ヨウ</t>
    </rPh>
    <phoneticPr fontId="2"/>
  </si>
  <si>
    <t>換算HP</t>
    <rPh sb="0" eb="2">
      <t>カンサン</t>
    </rPh>
    <phoneticPr fontId="2"/>
  </si>
  <si>
    <t>補助値</t>
    <rPh sb="0" eb="2">
      <t>ホジョ</t>
    </rPh>
    <rPh sb="2" eb="3">
      <t>チ</t>
    </rPh>
    <phoneticPr fontId="2"/>
  </si>
  <si>
    <t>威力</t>
    <rPh sb="0" eb="2">
      <t>イリョク</t>
    </rPh>
    <phoneticPr fontId="2"/>
  </si>
  <si>
    <t>種族</t>
    <rPh sb="0" eb="2">
      <t>シュゾク</t>
    </rPh>
    <phoneticPr fontId="2"/>
  </si>
  <si>
    <t>魔防</t>
    <rPh sb="0" eb="1">
      <t>マ</t>
    </rPh>
    <rPh sb="1" eb="2">
      <t>ボウ</t>
    </rPh>
    <phoneticPr fontId="2"/>
  </si>
  <si>
    <t>妖精</t>
    <rPh sb="0" eb="2">
      <t>ヨウセイ</t>
    </rPh>
    <phoneticPr fontId="2"/>
  </si>
  <si>
    <t>HP</t>
  </si>
  <si>
    <t>ガンダルヴァ</t>
  </si>
  <si>
    <t>ケルピー</t>
  </si>
  <si>
    <t>エルフ</t>
  </si>
  <si>
    <t>トロール</t>
  </si>
  <si>
    <t>オベロン</t>
  </si>
  <si>
    <t>耐性</t>
    <rPh sb="0" eb="2">
      <t>タイセイ</t>
    </rPh>
    <phoneticPr fontId="2"/>
  </si>
  <si>
    <t>地霊</t>
    <rPh sb="0" eb="2">
      <t>チレイ</t>
    </rPh>
    <phoneticPr fontId="2"/>
  </si>
  <si>
    <t>コダマ</t>
    <phoneticPr fontId="2"/>
  </si>
  <si>
    <t>カハク</t>
    <phoneticPr fontId="2"/>
  </si>
  <si>
    <t>ノッカー</t>
    <phoneticPr fontId="2"/>
  </si>
  <si>
    <t>スダマ</t>
    <phoneticPr fontId="2"/>
  </si>
  <si>
    <t>ブッカブー</t>
    <phoneticPr fontId="2"/>
  </si>
  <si>
    <t>ドワーフ</t>
    <phoneticPr fontId="2"/>
  </si>
  <si>
    <t>ウベルリ</t>
    <phoneticPr fontId="2"/>
  </si>
  <si>
    <t>ティターン</t>
    <phoneticPr fontId="2"/>
  </si>
  <si>
    <t>ティターニア</t>
    <phoneticPr fontId="2"/>
  </si>
  <si>
    <t>ジャックフロスト</t>
    <phoneticPr fontId="2"/>
  </si>
  <si>
    <t>ハイピクシー</t>
    <phoneticPr fontId="2"/>
  </si>
  <si>
    <t>ジャックランタン</t>
    <phoneticPr fontId="2"/>
  </si>
  <si>
    <t>妖獣</t>
    <rPh sb="0" eb="1">
      <t>ヨウ</t>
    </rPh>
    <rPh sb="1" eb="2">
      <t>ジュウ</t>
    </rPh>
    <phoneticPr fontId="2"/>
  </si>
  <si>
    <t>ガルム</t>
    <phoneticPr fontId="2"/>
  </si>
  <si>
    <t>バイコーン</t>
    <phoneticPr fontId="2"/>
  </si>
  <si>
    <t>ギュウキ</t>
    <phoneticPr fontId="2"/>
  </si>
  <si>
    <t>ライジュウ</t>
    <phoneticPr fontId="2"/>
  </si>
  <si>
    <t>ヌエ</t>
    <phoneticPr fontId="2"/>
  </si>
  <si>
    <t>フェンリル</t>
    <phoneticPr fontId="2"/>
  </si>
  <si>
    <t>トウコツ</t>
    <phoneticPr fontId="2"/>
  </si>
  <si>
    <t>魔獣</t>
    <rPh sb="0" eb="1">
      <t>マ</t>
    </rPh>
    <rPh sb="1" eb="2">
      <t>ジュウ</t>
    </rPh>
    <phoneticPr fontId="2"/>
  </si>
  <si>
    <t>ケットシー</t>
    <phoneticPr fontId="2"/>
  </si>
  <si>
    <t>カーシー</t>
    <phoneticPr fontId="2"/>
  </si>
  <si>
    <t>イヌガミ</t>
    <phoneticPr fontId="2"/>
  </si>
  <si>
    <t>ネコマタ</t>
    <phoneticPr fontId="2"/>
  </si>
  <si>
    <t>オルトロス</t>
    <phoneticPr fontId="2"/>
  </si>
  <si>
    <t>タンキ</t>
    <phoneticPr fontId="2"/>
  </si>
  <si>
    <t>ケルベロス</t>
    <phoneticPr fontId="2"/>
  </si>
  <si>
    <t>夜魔</t>
    <rPh sb="0" eb="2">
      <t>ヤマ</t>
    </rPh>
    <phoneticPr fontId="2"/>
  </si>
  <si>
    <t>アルプ</t>
    <phoneticPr fontId="2"/>
  </si>
  <si>
    <t>エンプーサ</t>
    <phoneticPr fontId="2"/>
  </si>
  <si>
    <t>リリム</t>
    <phoneticPr fontId="2"/>
  </si>
  <si>
    <t>サキュバス</t>
    <phoneticPr fontId="2"/>
  </si>
  <si>
    <t>リリス</t>
    <phoneticPr fontId="2"/>
  </si>
  <si>
    <t>フォーモリア</t>
    <phoneticPr fontId="2"/>
  </si>
  <si>
    <t>外道</t>
    <rPh sb="0" eb="2">
      <t>ゲドウ</t>
    </rPh>
    <phoneticPr fontId="2"/>
  </si>
  <si>
    <t>ウィルオウィスプ</t>
    <phoneticPr fontId="2"/>
  </si>
  <si>
    <t>スライム</t>
    <phoneticPr fontId="2"/>
  </si>
  <si>
    <t>モウリョウ</t>
    <phoneticPr fontId="2"/>
  </si>
  <si>
    <t>ブロブ</t>
    <phoneticPr fontId="2"/>
  </si>
  <si>
    <t>ブラックウーズ</t>
    <phoneticPr fontId="2"/>
  </si>
  <si>
    <t>スペクター</t>
    <phoneticPr fontId="2"/>
  </si>
  <si>
    <t>ファントム</t>
    <phoneticPr fontId="2"/>
  </si>
  <si>
    <t>聖獣</t>
    <rPh sb="0" eb="2">
      <t>セイジュウ</t>
    </rPh>
    <phoneticPr fontId="2"/>
  </si>
  <si>
    <t>シーサー</t>
    <phoneticPr fontId="2"/>
  </si>
  <si>
    <t>ユニコーン</t>
    <phoneticPr fontId="2"/>
  </si>
  <si>
    <t>アピス</t>
    <phoneticPr fontId="2"/>
  </si>
  <si>
    <t>キリン</t>
    <phoneticPr fontId="2"/>
  </si>
  <si>
    <t>ハクタク</t>
    <phoneticPr fontId="2"/>
  </si>
  <si>
    <t>鬼女</t>
    <rPh sb="0" eb="2">
      <t>キジョ</t>
    </rPh>
    <phoneticPr fontId="2"/>
  </si>
  <si>
    <t>ダツエバ</t>
    <phoneticPr fontId="2"/>
  </si>
  <si>
    <t>ゴルゴン</t>
    <phoneticPr fontId="2"/>
  </si>
  <si>
    <t>ヨモツシコメ</t>
    <phoneticPr fontId="2"/>
  </si>
  <si>
    <t>堕天使</t>
    <rPh sb="0" eb="3">
      <t>ダテンシ</t>
    </rPh>
    <phoneticPr fontId="2"/>
  </si>
  <si>
    <t>エリゴール</t>
    <phoneticPr fontId="2"/>
  </si>
  <si>
    <t>デカラビア</t>
    <phoneticPr fontId="2"/>
  </si>
  <si>
    <t>フォルネウス</t>
    <phoneticPr fontId="2"/>
  </si>
  <si>
    <t>妖鬼</t>
    <rPh sb="0" eb="2">
      <t>ヨウキ</t>
    </rPh>
    <phoneticPr fontId="2"/>
  </si>
  <si>
    <t>アズミ</t>
    <phoneticPr fontId="2"/>
  </si>
  <si>
    <t>コッパテング</t>
    <phoneticPr fontId="2"/>
  </si>
  <si>
    <t>モムノフ</t>
    <phoneticPr fontId="2"/>
  </si>
  <si>
    <t>カラステング</t>
    <phoneticPr fontId="2"/>
  </si>
  <si>
    <t>シキガミ</t>
    <phoneticPr fontId="2"/>
  </si>
  <si>
    <t>オニ</t>
    <phoneticPr fontId="2"/>
  </si>
  <si>
    <t>トゥルダク</t>
    <phoneticPr fontId="2"/>
  </si>
  <si>
    <t>ヤクシャ</t>
    <phoneticPr fontId="2"/>
  </si>
  <si>
    <t>ヨモツイクサ</t>
    <phoneticPr fontId="2"/>
  </si>
  <si>
    <t>キンキ</t>
    <phoneticPr fontId="2"/>
  </si>
  <si>
    <t>スイキ</t>
    <phoneticPr fontId="2"/>
  </si>
  <si>
    <t>フウキ</t>
    <phoneticPr fontId="2"/>
  </si>
  <si>
    <t>オンギョウキ</t>
    <phoneticPr fontId="2"/>
  </si>
  <si>
    <t>ポルターガイスト</t>
    <phoneticPr fontId="2"/>
  </si>
  <si>
    <t>ガキ</t>
    <phoneticPr fontId="2"/>
  </si>
  <si>
    <t>グール</t>
    <phoneticPr fontId="2"/>
  </si>
  <si>
    <t>コロンゾン</t>
    <phoneticPr fontId="2"/>
  </si>
  <si>
    <t>ヤカー</t>
    <phoneticPr fontId="2"/>
  </si>
  <si>
    <t>ラフィンスカル</t>
    <phoneticPr fontId="2"/>
  </si>
  <si>
    <t>レギオン</t>
    <phoneticPr fontId="2"/>
  </si>
  <si>
    <t>ハーピー</t>
    <phoneticPr fontId="2"/>
  </si>
  <si>
    <t>マッハ</t>
    <phoneticPr fontId="2"/>
  </si>
  <si>
    <t>オキュペテー</t>
    <phoneticPr fontId="2"/>
  </si>
  <si>
    <t>ケライノー</t>
    <phoneticPr fontId="2"/>
  </si>
  <si>
    <t>アエロー</t>
    <phoneticPr fontId="2"/>
  </si>
  <si>
    <t>バイブ・カハ</t>
    <phoneticPr fontId="2"/>
  </si>
  <si>
    <t>モリーアン</t>
    <phoneticPr fontId="2"/>
  </si>
  <si>
    <t>エンジェル</t>
    <phoneticPr fontId="2"/>
  </si>
  <si>
    <t>アークエンジェル</t>
    <phoneticPr fontId="2"/>
  </si>
  <si>
    <t>プリンシパリティ</t>
    <phoneticPr fontId="2"/>
  </si>
  <si>
    <t>ヴァーチャー</t>
    <phoneticPr fontId="2"/>
  </si>
  <si>
    <t>ドミニオン</t>
    <phoneticPr fontId="2"/>
  </si>
  <si>
    <t>コカトライス</t>
    <phoneticPr fontId="2"/>
  </si>
  <si>
    <t>タラスク</t>
    <phoneticPr fontId="2"/>
  </si>
  <si>
    <t>アプサラス</t>
    <phoneticPr fontId="2"/>
  </si>
  <si>
    <t>イソラ</t>
    <phoneticPr fontId="2"/>
  </si>
  <si>
    <t>ディース</t>
    <phoneticPr fontId="2"/>
  </si>
  <si>
    <t>オンコット</t>
    <phoneticPr fontId="2"/>
  </si>
  <si>
    <t>ガネーシャ</t>
    <phoneticPr fontId="2"/>
  </si>
  <si>
    <t>オンモラキ</t>
    <phoneticPr fontId="2"/>
  </si>
  <si>
    <t>チン</t>
    <phoneticPr fontId="2"/>
  </si>
  <si>
    <t>フリアイ</t>
    <phoneticPr fontId="2"/>
  </si>
  <si>
    <t>カマソッソ</t>
    <phoneticPr fontId="2"/>
  </si>
  <si>
    <t>天使</t>
    <rPh sb="0" eb="2">
      <t>テンシ</t>
    </rPh>
    <phoneticPr fontId="2"/>
  </si>
  <si>
    <t>妖鳥</t>
    <rPh sb="0" eb="2">
      <t>ヨウチョウ</t>
    </rPh>
    <phoneticPr fontId="2"/>
  </si>
  <si>
    <t>幽鬼</t>
    <rPh sb="0" eb="2">
      <t>ユウキ</t>
    </rPh>
    <phoneticPr fontId="2"/>
  </si>
  <si>
    <t>邪龍</t>
    <rPh sb="0" eb="1">
      <t>ジャ</t>
    </rPh>
    <rPh sb="1" eb="2">
      <t>リュウ</t>
    </rPh>
    <phoneticPr fontId="2"/>
  </si>
  <si>
    <t>妖魔</t>
    <rPh sb="0" eb="2">
      <t>ヨウマ</t>
    </rPh>
    <phoneticPr fontId="2"/>
  </si>
  <si>
    <t>凶鳥</t>
    <rPh sb="0" eb="2">
      <t>キョウチョウ</t>
    </rPh>
    <phoneticPr fontId="2"/>
  </si>
  <si>
    <t>悪魔名</t>
    <rPh sb="0" eb="2">
      <t>アクマ</t>
    </rPh>
    <rPh sb="2" eb="3">
      <t>メイ</t>
    </rPh>
    <phoneticPr fontId="2"/>
  </si>
  <si>
    <t>上乗せHP</t>
    <rPh sb="0" eb="2">
      <t>ウワノ</t>
    </rPh>
    <phoneticPr fontId="2"/>
  </si>
  <si>
    <t>下乗せHP</t>
    <rPh sb="0" eb="1">
      <t>シタ</t>
    </rPh>
    <rPh sb="1" eb="2">
      <t>ノ</t>
    </rPh>
    <phoneticPr fontId="2"/>
  </si>
  <si>
    <t>判定１</t>
    <rPh sb="0" eb="2">
      <t>ハンテイ</t>
    </rPh>
    <phoneticPr fontId="2"/>
  </si>
  <si>
    <t>判定２</t>
    <rPh sb="0" eb="2">
      <t>ハンテイ</t>
    </rPh>
    <phoneticPr fontId="2"/>
  </si>
  <si>
    <t>判定３</t>
    <rPh sb="0" eb="2">
      <t>ハンテイ</t>
    </rPh>
    <phoneticPr fontId="2"/>
  </si>
  <si>
    <t>判定４</t>
    <rPh sb="0" eb="2">
      <t>ハンテイ</t>
    </rPh>
    <phoneticPr fontId="2"/>
  </si>
  <si>
    <t>判定５</t>
    <rPh sb="0" eb="2">
      <t>ハンテイ</t>
    </rPh>
    <phoneticPr fontId="2"/>
  </si>
  <si>
    <t>下限以下</t>
    <rPh sb="0" eb="2">
      <t>カゲン</t>
    </rPh>
    <rPh sb="2" eb="4">
      <t>イカ</t>
    </rPh>
    <phoneticPr fontId="2"/>
  </si>
  <si>
    <t>Critical以下</t>
    <rPh sb="8" eb="10">
      <t>イカ</t>
    </rPh>
    <phoneticPr fontId="2"/>
  </si>
  <si>
    <t>LB以下</t>
    <rPh sb="2" eb="4">
      <t>イカ</t>
    </rPh>
    <phoneticPr fontId="2"/>
  </si>
  <si>
    <t>LimitBreak Line</t>
    <phoneticPr fontId="2"/>
  </si>
  <si>
    <t>Critical Line</t>
    <phoneticPr fontId="2"/>
  </si>
  <si>
    <t>N-MAX Line</t>
    <phoneticPr fontId="2"/>
  </si>
  <si>
    <t>N-MIN Line</t>
    <phoneticPr fontId="2"/>
  </si>
  <si>
    <t>種族高揚</t>
    <rPh sb="0" eb="2">
      <t>シュゾク</t>
    </rPh>
    <rPh sb="2" eb="4">
      <t>コウヨウ</t>
    </rPh>
    <phoneticPr fontId="2"/>
  </si>
  <si>
    <t>大種族</t>
    <rPh sb="0" eb="1">
      <t>ダイ</t>
    </rPh>
    <rPh sb="1" eb="3">
      <t>シュゾク</t>
    </rPh>
    <phoneticPr fontId="2"/>
  </si>
  <si>
    <t>魔族</t>
    <rPh sb="0" eb="1">
      <t>マ</t>
    </rPh>
    <rPh sb="1" eb="2">
      <t>ゾク</t>
    </rPh>
    <phoneticPr fontId="2"/>
  </si>
  <si>
    <t>飛天族</t>
    <rPh sb="0" eb="3">
      <t>ヒテンゾク</t>
    </rPh>
    <phoneticPr fontId="2"/>
  </si>
  <si>
    <t>龍族</t>
    <rPh sb="0" eb="1">
      <t>リュウ</t>
    </rPh>
    <rPh sb="1" eb="2">
      <t>ゾク</t>
    </rPh>
    <phoneticPr fontId="2"/>
  </si>
  <si>
    <t>外道族</t>
    <rPh sb="0" eb="2">
      <t>ゲドウ</t>
    </rPh>
    <rPh sb="2" eb="3">
      <t>ゾク</t>
    </rPh>
    <phoneticPr fontId="2"/>
  </si>
  <si>
    <t>獣族</t>
    <rPh sb="0" eb="1">
      <t>ジュウ</t>
    </rPh>
    <rPh sb="1" eb="2">
      <t>ゾク</t>
    </rPh>
    <phoneticPr fontId="2"/>
  </si>
  <si>
    <t>小種族</t>
    <rPh sb="0" eb="1">
      <t>ショウ</t>
    </rPh>
    <rPh sb="1" eb="3">
      <t>シュゾク</t>
    </rPh>
    <phoneticPr fontId="2"/>
  </si>
  <si>
    <t>邪霊族</t>
    <rPh sb="0" eb="1">
      <t>ジャ</t>
    </rPh>
    <rPh sb="1" eb="2">
      <t>レイ</t>
    </rPh>
    <rPh sb="2" eb="3">
      <t>ゾク</t>
    </rPh>
    <phoneticPr fontId="2"/>
  </si>
  <si>
    <t>鳥族</t>
    <rPh sb="0" eb="2">
      <t>チョウゾク</t>
    </rPh>
    <phoneticPr fontId="2"/>
  </si>
  <si>
    <t>合計</t>
    <rPh sb="0" eb="2">
      <t>ゴウケイ</t>
    </rPh>
    <phoneticPr fontId="2"/>
  </si>
  <si>
    <t>鬼族</t>
    <rPh sb="0" eb="1">
      <t>オニ</t>
    </rPh>
    <rPh sb="1" eb="2">
      <t>ゾク</t>
    </rPh>
    <phoneticPr fontId="2"/>
  </si>
  <si>
    <t>上限以下</t>
    <rPh sb="0" eb="2">
      <t>ジョウゲン</t>
    </rPh>
    <rPh sb="2" eb="4">
      <t>イカ</t>
    </rPh>
    <phoneticPr fontId="2"/>
  </si>
  <si>
    <t>判定HP</t>
    <rPh sb="0" eb="2">
      <t>ハンテイ</t>
    </rPh>
    <phoneticPr fontId="2"/>
  </si>
  <si>
    <t>耐性換算HP</t>
    <rPh sb="0" eb="2">
      <t>タイセイ</t>
    </rPh>
    <rPh sb="2" eb="4">
      <t>カンサン</t>
    </rPh>
    <phoneticPr fontId="2"/>
  </si>
  <si>
    <t>耐性換算</t>
    <rPh sb="0" eb="2">
      <t>タイセイ</t>
    </rPh>
    <phoneticPr fontId="2"/>
  </si>
  <si>
    <t>HP差分</t>
    <rPh sb="2" eb="4">
      <t>サブン</t>
    </rPh>
    <phoneticPr fontId="2"/>
  </si>
  <si>
    <t>下乗せ</t>
    <phoneticPr fontId="2"/>
  </si>
  <si>
    <t>上限</t>
    <rPh sb="0" eb="2">
      <t>ジョウゲン</t>
    </rPh>
    <phoneticPr fontId="2"/>
  </si>
  <si>
    <t>下限</t>
    <rPh sb="0" eb="2">
      <t>カゲン</t>
    </rPh>
    <phoneticPr fontId="2"/>
  </si>
  <si>
    <t>ダメージ</t>
    <phoneticPr fontId="2"/>
  </si>
  <si>
    <t>LB時</t>
    <rPh sb="2" eb="3">
      <t>ジ</t>
    </rPh>
    <phoneticPr fontId="2"/>
  </si>
  <si>
    <t>Crt時</t>
    <rPh sb="3" eb="4">
      <t>ジ</t>
    </rPh>
    <phoneticPr fontId="2"/>
  </si>
  <si>
    <t>通常時</t>
    <rPh sb="0" eb="3">
      <t>ツウジョウジ</t>
    </rPh>
    <phoneticPr fontId="2"/>
  </si>
  <si>
    <t>ヤクシニー</t>
  </si>
  <si>
    <t>ターラカ</t>
  </si>
  <si>
    <t>ラミア</t>
  </si>
  <si>
    <t>ソロネ</t>
  </si>
  <si>
    <t>パワー</t>
  </si>
  <si>
    <t>バジリスク</t>
  </si>
  <si>
    <t>ニーズホッグ</t>
  </si>
  <si>
    <t>軸合わせ用(主)</t>
    <rPh sb="0" eb="1">
      <t>ジク</t>
    </rPh>
    <rPh sb="1" eb="2">
      <t>ア</t>
    </rPh>
    <rPh sb="4" eb="5">
      <t>ヨウ</t>
    </rPh>
    <rPh sb="6" eb="7">
      <t>シュ</t>
    </rPh>
    <phoneticPr fontId="2"/>
  </si>
  <si>
    <t>軸合わせ用(2)</t>
    <rPh sb="0" eb="1">
      <t>ジク</t>
    </rPh>
    <rPh sb="1" eb="2">
      <t>ア</t>
    </rPh>
    <rPh sb="4" eb="5">
      <t>ヨウ</t>
    </rPh>
    <phoneticPr fontId="2"/>
  </si>
  <si>
    <t>基本情報</t>
    <rPh sb="0" eb="2">
      <t>キホン</t>
    </rPh>
    <rPh sb="2" eb="4">
      <t>ジョウホウ</t>
    </rPh>
    <phoneticPr fontId="2"/>
  </si>
  <si>
    <t>ｼｮｯﾄ高揚</t>
    <rPh sb="4" eb="6">
      <t>コウヨウ</t>
    </rPh>
    <phoneticPr fontId="2"/>
  </si>
  <si>
    <t>LB高揚</t>
    <rPh sb="2" eb="4">
      <t>コウヨウ</t>
    </rPh>
    <phoneticPr fontId="2"/>
  </si>
  <si>
    <t>G表示数</t>
    <rPh sb="1" eb="3">
      <t>ヒョウジ</t>
    </rPh>
    <rPh sb="3" eb="4">
      <t>スウ</t>
    </rPh>
    <phoneticPr fontId="2"/>
  </si>
  <si>
    <t>個体数</t>
    <rPh sb="0" eb="3">
      <t>コタイスウ</t>
    </rPh>
    <phoneticPr fontId="2"/>
  </si>
  <si>
    <t>除外悪魔</t>
    <rPh sb="0" eb="2">
      <t>ジョガイ</t>
    </rPh>
    <rPh sb="2" eb="4">
      <t>アクマ</t>
    </rPh>
    <phoneticPr fontId="2"/>
  </si>
  <si>
    <t>選択中</t>
    <rPh sb="0" eb="2">
      <t>センタク</t>
    </rPh>
    <rPh sb="2" eb="3">
      <t>チュウ</t>
    </rPh>
    <phoneticPr fontId="2"/>
  </si>
  <si>
    <t>特記</t>
    <rPh sb="0" eb="2">
      <t>トッキ</t>
    </rPh>
    <phoneticPr fontId="2"/>
  </si>
  <si>
    <t>神経無効</t>
    <rPh sb="0" eb="2">
      <t>シンケイ</t>
    </rPh>
    <rPh sb="2" eb="4">
      <t>ムコウ</t>
    </rPh>
    <phoneticPr fontId="2"/>
  </si>
  <si>
    <t>魔法無効</t>
    <rPh sb="0" eb="2">
      <t>マホウ</t>
    </rPh>
    <rPh sb="2" eb="4">
      <t>ムコウ</t>
    </rPh>
    <phoneticPr fontId="2"/>
  </si>
  <si>
    <t>-</t>
    <phoneticPr fontId="2"/>
  </si>
  <si>
    <t>インキュバス</t>
  </si>
  <si>
    <t>ジャアクフロスト</t>
  </si>
  <si>
    <t>/</t>
  </si>
  <si>
    <t>/</t>
    <phoneticPr fontId="2"/>
  </si>
  <si>
    <t>神経高揚</t>
    <rPh sb="0" eb="2">
      <t>シンケイ</t>
    </rPh>
    <rPh sb="2" eb="4">
      <t>コウヨウ</t>
    </rPh>
    <phoneticPr fontId="2"/>
  </si>
  <si>
    <t>除外分</t>
    <rPh sb="0" eb="2">
      <t>ジョガイ</t>
    </rPh>
    <rPh sb="2" eb="3">
      <t>ブン</t>
    </rPh>
    <phoneticPr fontId="2"/>
  </si>
  <si>
    <t>ウィルオウィスプ</t>
  </si>
  <si>
    <t>-</t>
  </si>
  <si>
    <t>スライム</t>
  </si>
  <si>
    <t>モウリョウ</t>
  </si>
  <si>
    <t>ブロブ</t>
  </si>
  <si>
    <t>ブラックウーズ</t>
  </si>
  <si>
    <t>スペクター</t>
  </si>
  <si>
    <t>（MAX）</t>
    <phoneticPr fontId="2"/>
  </si>
  <si>
    <t>（MIN）</t>
    <phoneticPr fontId="2"/>
  </si>
  <si>
    <t>LB Line</t>
    <phoneticPr fontId="2"/>
  </si>
  <si>
    <t>Crt Line</t>
    <phoneticPr fontId="2"/>
  </si>
  <si>
    <t>備考</t>
    <rPh sb="0" eb="2">
      <t>ビコウ</t>
    </rPh>
    <phoneticPr fontId="2"/>
  </si>
  <si>
    <t>ジャックフロスト</t>
  </si>
  <si>
    <t>ハイピクシー</t>
  </si>
  <si>
    <t>ジャックランタン</t>
  </si>
  <si>
    <t>ティターニア</t>
  </si>
  <si>
    <t>ファントム</t>
  </si>
  <si>
    <t>エンジェル</t>
  </si>
  <si>
    <t>アークエンジェル</t>
  </si>
  <si>
    <t>プリンシパリティ</t>
  </si>
  <si>
    <t>ヴァーチャー</t>
  </si>
  <si>
    <t>ドミニオン</t>
  </si>
  <si>
    <t>評価攻撃回数</t>
    <rPh sb="0" eb="2">
      <t>ヒョウカ</t>
    </rPh>
    <rPh sb="2" eb="4">
      <t>コウゲキ</t>
    </rPh>
    <rPh sb="4" eb="6">
      <t>カイスウ</t>
    </rPh>
    <phoneticPr fontId="2"/>
  </si>
  <si>
    <t>評価攻撃回数</t>
    <rPh sb="0" eb="2">
      <t>ヒョウカ</t>
    </rPh>
    <rPh sb="2" eb="4">
      <t>コウゲキ</t>
    </rPh>
    <rPh sb="4" eb="6">
      <t>カイスウ</t>
    </rPh>
    <phoneticPr fontId="2"/>
  </si>
  <si>
    <t>悪魔登録欄</t>
    <rPh sb="0" eb="2">
      <t>アクマ</t>
    </rPh>
    <rPh sb="2" eb="4">
      <t>トウロク</t>
    </rPh>
    <rPh sb="4" eb="5">
      <t>ラン</t>
    </rPh>
    <phoneticPr fontId="2"/>
  </si>
</sst>
</file>

<file path=xl/styles.xml><?xml version="1.0" encoding="utf-8"?>
<styleSheet xmlns="http://schemas.openxmlformats.org/spreadsheetml/2006/main">
  <fonts count="23"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0"/>
      <color rgb="FF00B050"/>
      <name val="ＭＳ Ｐゴシック"/>
      <family val="2"/>
      <charset val="128"/>
      <scheme val="minor"/>
    </font>
    <font>
      <sz val="10"/>
      <color rgb="FF00B050"/>
      <name val="ＭＳ Ｐゴシック"/>
      <family val="3"/>
      <charset val="128"/>
      <scheme val="minor"/>
    </font>
    <font>
      <sz val="10"/>
      <color rgb="FF00B0F0"/>
      <name val="ＭＳ Ｐゴシック"/>
      <family val="2"/>
      <charset val="128"/>
      <scheme val="minor"/>
    </font>
    <font>
      <sz val="10"/>
      <color rgb="FF00B0F0"/>
      <name val="ＭＳ Ｐゴシック"/>
      <family val="3"/>
      <charset val="128"/>
      <scheme val="minor"/>
    </font>
    <font>
      <sz val="10"/>
      <color theme="9"/>
      <name val="ＭＳ Ｐゴシック"/>
      <family val="2"/>
      <charset val="128"/>
      <scheme val="minor"/>
    </font>
    <font>
      <sz val="10"/>
      <color theme="9"/>
      <name val="ＭＳ Ｐゴシック"/>
      <family val="3"/>
      <charset val="128"/>
      <scheme val="minor"/>
    </font>
    <font>
      <sz val="10"/>
      <color rgb="FF7030A0"/>
      <name val="ＭＳ Ｐゴシック"/>
      <family val="2"/>
      <charset val="128"/>
      <scheme val="minor"/>
    </font>
    <font>
      <sz val="10"/>
      <color theme="0" tint="-0.34998626667073579"/>
      <name val="ＭＳ Ｐゴシック"/>
      <family val="2"/>
      <charset val="128"/>
      <scheme val="minor"/>
    </font>
    <font>
      <sz val="10"/>
      <color theme="0" tint="-0.34998626667073579"/>
      <name val="ＭＳ Ｐゴシック"/>
      <family val="3"/>
      <charset val="128"/>
      <scheme val="minor"/>
    </font>
    <font>
      <b/>
      <sz val="10"/>
      <color rgb="FF0000FF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9" fontId="0" fillId="0" borderId="0" xfId="1" applyFont="1">
      <alignment vertical="center"/>
    </xf>
    <xf numFmtId="0" fontId="0" fillId="4" borderId="0" xfId="0" applyFill="1">
      <alignment vertical="center"/>
    </xf>
    <xf numFmtId="0" fontId="0" fillId="2" borderId="2" xfId="0" applyFill="1" applyBorder="1">
      <alignment vertical="center"/>
    </xf>
    <xf numFmtId="0" fontId="0" fillId="0" borderId="3" xfId="0" applyBorder="1">
      <alignment vertical="center"/>
    </xf>
    <xf numFmtId="9" fontId="0" fillId="0" borderId="3" xfId="1" applyFont="1" applyBorder="1">
      <alignment vertical="center"/>
    </xf>
    <xf numFmtId="0" fontId="0" fillId="0" borderId="4" xfId="0" applyBorder="1">
      <alignment vertical="center"/>
    </xf>
    <xf numFmtId="0" fontId="0" fillId="2" borderId="5" xfId="0" applyFill="1" applyBorder="1">
      <alignment vertical="center"/>
    </xf>
    <xf numFmtId="0" fontId="0" fillId="0" borderId="0" xfId="0" applyBorder="1">
      <alignment vertical="center"/>
    </xf>
    <xf numFmtId="9" fontId="0" fillId="0" borderId="0" xfId="1" applyFont="1" applyBorder="1">
      <alignment vertical="center"/>
    </xf>
    <xf numFmtId="0" fontId="0" fillId="0" borderId="6" xfId="0" applyBorder="1">
      <alignment vertical="center"/>
    </xf>
    <xf numFmtId="0" fontId="0" fillId="2" borderId="7" xfId="0" applyFill="1" applyBorder="1">
      <alignment vertical="center"/>
    </xf>
    <xf numFmtId="0" fontId="0" fillId="0" borderId="8" xfId="0" applyBorder="1">
      <alignment vertical="center"/>
    </xf>
    <xf numFmtId="9" fontId="0" fillId="0" borderId="8" xfId="1" applyFont="1" applyBorder="1">
      <alignment vertical="center"/>
    </xf>
    <xf numFmtId="0" fontId="0" fillId="0" borderId="9" xfId="0" applyBorder="1">
      <alignment vertical="center"/>
    </xf>
    <xf numFmtId="0" fontId="0" fillId="3" borderId="2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7" xfId="0" applyFill="1" applyBorder="1">
      <alignment vertical="center"/>
    </xf>
    <xf numFmtId="0" fontId="0" fillId="4" borderId="2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>
      <alignment vertical="center"/>
    </xf>
    <xf numFmtId="9" fontId="0" fillId="0" borderId="16" xfId="1" applyFont="1" applyBorder="1">
      <alignment vertical="center"/>
    </xf>
    <xf numFmtId="0" fontId="0" fillId="0" borderId="17" xfId="0" applyBorder="1">
      <alignment vertical="center"/>
    </xf>
    <xf numFmtId="9" fontId="0" fillId="0" borderId="17" xfId="1" applyFont="1" applyBorder="1">
      <alignment vertical="center"/>
    </xf>
    <xf numFmtId="0" fontId="0" fillId="0" borderId="18" xfId="0" applyBorder="1">
      <alignment vertical="center"/>
    </xf>
    <xf numFmtId="9" fontId="0" fillId="0" borderId="18" xfId="1" applyFont="1" applyBorder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0" fillId="6" borderId="0" xfId="0" applyFill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0" fillId="7" borderId="0" xfId="0" applyFill="1">
      <alignment vertical="center"/>
    </xf>
    <xf numFmtId="0" fontId="0" fillId="8" borderId="0" xfId="0" applyFill="1">
      <alignment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9" fontId="0" fillId="0" borderId="1" xfId="1" applyNumberFormat="1" applyFont="1" applyBorder="1" applyAlignment="1">
      <alignment horizontal="center" vertical="center"/>
    </xf>
    <xf numFmtId="9" fontId="0" fillId="5" borderId="1" xfId="1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9" fontId="0" fillId="5" borderId="1" xfId="1" applyFont="1" applyFill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4" fillId="0" borderId="0" xfId="0" applyFont="1">
      <alignment vertical="center"/>
    </xf>
    <xf numFmtId="0" fontId="0" fillId="0" borderId="20" xfId="0" applyBorder="1" applyAlignment="1">
      <alignment horizontal="centerContinuous" vertical="center"/>
    </xf>
    <xf numFmtId="0" fontId="0" fillId="0" borderId="20" xfId="0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9" fontId="0" fillId="0" borderId="19" xfId="0" applyNumberFormat="1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28" xfId="0" applyBorder="1" applyAlignment="1">
      <alignment horizontal="center" vertical="center"/>
    </xf>
    <xf numFmtId="0" fontId="0" fillId="0" borderId="5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15" fillId="0" borderId="10" xfId="0" applyFont="1" applyBorder="1">
      <alignment vertical="center"/>
    </xf>
    <xf numFmtId="0" fontId="15" fillId="0" borderId="12" xfId="0" applyFont="1" applyBorder="1">
      <alignment vertical="center"/>
    </xf>
    <xf numFmtId="0" fontId="17" fillId="0" borderId="27" xfId="0" applyFont="1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32" xfId="0" applyBorder="1">
      <alignment vertical="center"/>
    </xf>
    <xf numFmtId="9" fontId="0" fillId="0" borderId="21" xfId="1" applyFont="1" applyBorder="1">
      <alignment vertical="center"/>
    </xf>
    <xf numFmtId="9" fontId="0" fillId="0" borderId="33" xfId="1" applyFont="1" applyBorder="1">
      <alignment vertical="center"/>
    </xf>
    <xf numFmtId="9" fontId="0" fillId="0" borderId="31" xfId="1" applyFont="1" applyBorder="1">
      <alignment vertical="center"/>
    </xf>
    <xf numFmtId="0" fontId="0" fillId="0" borderId="11" xfId="0" applyBorder="1" applyAlignment="1">
      <alignment horizontal="centerContinuous" vertical="center"/>
    </xf>
    <xf numFmtId="9" fontId="0" fillId="5" borderId="10" xfId="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8" fillId="0" borderId="0" xfId="0" applyFont="1">
      <alignment vertical="center"/>
    </xf>
    <xf numFmtId="0" fontId="0" fillId="0" borderId="34" xfId="0" applyBorder="1">
      <alignment vertical="center"/>
    </xf>
    <xf numFmtId="0" fontId="0" fillId="0" borderId="27" xfId="0" applyBorder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17" fillId="0" borderId="21" xfId="0" applyFont="1" applyBorder="1">
      <alignment vertical="center"/>
    </xf>
    <xf numFmtId="0" fontId="17" fillId="0" borderId="20" xfId="0" applyFont="1" applyBorder="1">
      <alignment vertical="center"/>
    </xf>
    <xf numFmtId="0" fontId="19" fillId="0" borderId="19" xfId="0" applyFont="1" applyBorder="1" applyAlignment="1">
      <alignment horizontal="center" vertical="center"/>
    </xf>
    <xf numFmtId="0" fontId="0" fillId="5" borderId="16" xfId="0" applyFill="1" applyBorder="1">
      <alignment vertical="center"/>
    </xf>
    <xf numFmtId="9" fontId="0" fillId="5" borderId="16" xfId="1" applyFont="1" applyFill="1" applyBorder="1">
      <alignment vertical="center"/>
    </xf>
    <xf numFmtId="0" fontId="0" fillId="5" borderId="17" xfId="0" applyFill="1" applyBorder="1">
      <alignment vertical="center"/>
    </xf>
    <xf numFmtId="9" fontId="0" fillId="5" borderId="17" xfId="1" applyFont="1" applyFill="1" applyBorder="1">
      <alignment vertical="center"/>
    </xf>
    <xf numFmtId="0" fontId="0" fillId="5" borderId="18" xfId="0" applyFill="1" applyBorder="1">
      <alignment vertical="center"/>
    </xf>
    <xf numFmtId="9" fontId="0" fillId="5" borderId="18" xfId="1" applyFont="1" applyFill="1" applyBorder="1">
      <alignment vertical="center"/>
    </xf>
    <xf numFmtId="0" fontId="4" fillId="0" borderId="0" xfId="0" applyFont="1" applyAlignment="1">
      <alignment vertical="center" shrinkToFit="1"/>
    </xf>
    <xf numFmtId="0" fontId="20" fillId="0" borderId="0" xfId="0" applyFont="1">
      <alignment vertical="center"/>
    </xf>
    <xf numFmtId="0" fontId="0" fillId="0" borderId="3" xfId="1" applyNumberFormat="1" applyFont="1" applyBorder="1">
      <alignment vertical="center"/>
    </xf>
    <xf numFmtId="0" fontId="0" fillId="0" borderId="0" xfId="1" applyNumberFormat="1" applyFont="1" applyBorder="1">
      <alignment vertical="center"/>
    </xf>
    <xf numFmtId="0" fontId="0" fillId="0" borderId="8" xfId="1" applyNumberFormat="1" applyFont="1" applyBorder="1">
      <alignment vertical="center"/>
    </xf>
    <xf numFmtId="0" fontId="21" fillId="11" borderId="11" xfId="0" applyFont="1" applyFill="1" applyBorder="1" applyAlignment="1">
      <alignment horizontal="centerContinuous" vertical="center"/>
    </xf>
    <xf numFmtId="0" fontId="21" fillId="11" borderId="12" xfId="0" applyFont="1" applyFill="1" applyBorder="1" applyAlignment="1">
      <alignment horizontal="centerContinuous" vertical="center"/>
    </xf>
    <xf numFmtId="0" fontId="22" fillId="11" borderId="10" xfId="0" applyFont="1" applyFill="1" applyBorder="1" applyAlignment="1">
      <alignment horizontal="centerContinuous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9" fontId="0" fillId="5" borderId="10" xfId="1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9" fontId="0" fillId="5" borderId="2" xfId="1" applyNumberFormat="1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9" fontId="0" fillId="5" borderId="5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9" fontId="0" fillId="5" borderId="7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9" fontId="0" fillId="5" borderId="13" xfId="1" applyNumberFormat="1" applyFont="1" applyFill="1" applyBorder="1" applyAlignment="1">
      <alignment horizontal="center" vertical="center"/>
    </xf>
    <xf numFmtId="9" fontId="0" fillId="5" borderId="14" xfId="1" applyNumberFormat="1" applyFont="1" applyFill="1" applyBorder="1" applyAlignment="1">
      <alignment horizontal="center" vertical="center"/>
    </xf>
    <xf numFmtId="9" fontId="0" fillId="5" borderId="15" xfId="1" applyNumberFormat="1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6"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FFFCC"/>
      <color rgb="FF99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tx>
            <c:strRef>
              <c:f>南国ビーチ用!$W$25</c:f>
              <c:strCache>
                <c:ptCount val="1"/>
                <c:pt idx="0">
                  <c:v>判定HP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cat>
            <c:multiLvlStrRef>
              <c:f>南国ビーチ用!$B$26:$D$37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南国ビーチ用!$W$26:$W$37</c:f>
              <c:numCache>
                <c:formatCode>General</c:formatCode>
                <c:ptCount val="12"/>
                <c:pt idx="1">
                  <c:v>75</c:v>
                </c:pt>
                <c:pt idx="2">
                  <c:v>124</c:v>
                </c:pt>
                <c:pt idx="3">
                  <c:v>154</c:v>
                </c:pt>
                <c:pt idx="4">
                  <c:v>149</c:v>
                </c:pt>
                <c:pt idx="5">
                  <c:v>215</c:v>
                </c:pt>
                <c:pt idx="6">
                  <c:v>194</c:v>
                </c:pt>
                <c:pt idx="7">
                  <c:v>285</c:v>
                </c:pt>
                <c:pt idx="8">
                  <c:v>368</c:v>
                </c:pt>
                <c:pt idx="9">
                  <c:v>462</c:v>
                </c:pt>
                <c:pt idx="10">
                  <c:v>459</c:v>
                </c:pt>
              </c:numCache>
            </c:numRef>
          </c:val>
        </c:ser>
        <c:ser>
          <c:idx val="1"/>
          <c:order val="1"/>
          <c:tx>
            <c:strRef>
              <c:f>南国ビーチ用!$X$25</c:f>
              <c:strCache>
                <c:ptCount val="1"/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cat>
            <c:multiLvlStrRef>
              <c:f>南国ビーチ用!$B$26:$D$37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南国ビーチ用!$X$26:$X$37</c:f>
              <c:numCache>
                <c:formatCode>General</c:formatCode>
                <c:ptCount val="12"/>
              </c:numCache>
            </c:numRef>
          </c:val>
        </c:ser>
        <c:ser>
          <c:idx val="2"/>
          <c:order val="2"/>
          <c:tx>
            <c:strRef>
              <c:f>南国ビーチ用!$Y$25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cat>
            <c:multiLvlStrRef>
              <c:f>南国ビーチ用!$B$26:$D$37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南国ビーチ用!$Y$26:$Y$37</c:f>
              <c:numCache>
                <c:formatCode>General</c:formatCode>
                <c:ptCount val="12"/>
              </c:numCache>
            </c:numRef>
          </c:val>
        </c:ser>
        <c:overlap val="100"/>
        <c:axId val="64651648"/>
        <c:axId val="64653184"/>
      </c:barChart>
      <c:barChart>
        <c:barDir val="col"/>
        <c:grouping val="clustered"/>
        <c:ser>
          <c:idx val="7"/>
          <c:order val="7"/>
          <c:tx>
            <c:strRef>
              <c:f>南国ビーチ用!$AD$25</c:f>
              <c:strCache>
                <c:ptCount val="1"/>
                <c:pt idx="0">
                  <c:v>判定１</c:v>
                </c:pt>
              </c:strCache>
            </c:strRef>
          </c:tx>
          <c:spPr>
            <a:noFill/>
            <a:ln w="28575">
              <a:solidFill>
                <a:schemeClr val="tx1">
                  <a:lumMod val="75000"/>
                  <a:lumOff val="25000"/>
                </a:schemeClr>
              </a:solidFill>
            </a:ln>
          </c:spPr>
          <c:dLbls>
            <c:spPr>
              <a:effectLst/>
            </c:spPr>
            <c:txPr>
              <a:bodyPr/>
              <a:lstStyle/>
              <a:p>
                <a:pPr>
                  <a:defRPr>
                    <a:effectLst>
                      <a:glow rad="152400">
                        <a:sysClr val="window" lastClr="FFFFFF">
                          <a:alpha val="70000"/>
                        </a:sysClr>
                      </a:glow>
                    </a:effectLst>
                  </a:defRPr>
                </a:pPr>
                <a:endParaRPr lang="ja-JP"/>
              </a:p>
            </c:txPr>
            <c:dLblPos val="inEnd"/>
            <c:showVal val="1"/>
          </c:dLbls>
          <c:cat>
            <c:multiLvlStrRef>
              <c:f>南国ビーチ用!$B$26:$D$37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南国ビーチ用!$AD$26:$AD$37</c:f>
              <c:numCache>
                <c:formatCode>General</c:formatCode>
                <c:ptCount val="12"/>
                <c:pt idx="1">
                  <c:v>75</c:v>
                </c:pt>
                <c:pt idx="2">
                  <c:v>124</c:v>
                </c:pt>
                <c:pt idx="3">
                  <c:v>154</c:v>
                </c:pt>
                <c:pt idx="4">
                  <c:v>149</c:v>
                </c:pt>
                <c:pt idx="5">
                  <c:v>215</c:v>
                </c:pt>
                <c:pt idx="6">
                  <c:v>194</c:v>
                </c:pt>
                <c:pt idx="7">
                  <c:v>285</c:v>
                </c:pt>
                <c:pt idx="8">
                  <c:v>368</c:v>
                </c:pt>
                <c:pt idx="9">
                  <c:v>462</c:v>
                </c:pt>
                <c:pt idx="10">
                  <c:v>459</c:v>
                </c:pt>
              </c:numCache>
            </c:numRef>
          </c:val>
        </c:ser>
        <c:ser>
          <c:idx val="8"/>
          <c:order val="8"/>
          <c:tx>
            <c:strRef>
              <c:f>南国ビーチ用!$AE$25</c:f>
              <c:strCache>
                <c:ptCount val="1"/>
                <c:pt idx="0">
                  <c:v>判定５</c:v>
                </c:pt>
              </c:strCache>
            </c:strRef>
          </c:tx>
          <c:spPr>
            <a:noFill/>
            <a:ln w="28575">
              <a:solidFill>
                <a:srgbClr val="FF0000"/>
              </a:solidFill>
            </a:ln>
          </c:spPr>
          <c:cat>
            <c:multiLvlStrRef>
              <c:f>南国ビーチ用!$B$26:$D$37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南国ビーチ用!$AE$26:$AE$37</c:f>
              <c:numCache>
                <c:formatCode>General</c:formatCode>
                <c:ptCount val="12"/>
                <c:pt idx="1">
                  <c:v>75</c:v>
                </c:pt>
                <c:pt idx="2">
                  <c:v>124</c:v>
                </c:pt>
                <c:pt idx="3">
                  <c:v>154</c:v>
                </c:pt>
                <c:pt idx="4">
                  <c:v>149</c:v>
                </c:pt>
                <c:pt idx="5">
                  <c:v>215</c:v>
                </c:pt>
                <c:pt idx="6">
                  <c:v>194</c:v>
                </c:pt>
                <c:pt idx="7">
                  <c:v>285</c:v>
                </c:pt>
                <c:pt idx="8">
                  <c:v>368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</c:ser>
        <c:ser>
          <c:idx val="9"/>
          <c:order val="9"/>
          <c:tx>
            <c:strRef>
              <c:f>南国ビーチ用!$AF$25</c:f>
              <c:strCache>
                <c:ptCount val="1"/>
                <c:pt idx="0">
                  <c:v>判定４</c:v>
                </c:pt>
              </c:strCache>
            </c:strRef>
          </c:tx>
          <c:spPr>
            <a:noFill/>
            <a:ln w="28575">
              <a:solidFill>
                <a:schemeClr val="accent6">
                  <a:lumMod val="75000"/>
                </a:schemeClr>
              </a:solidFill>
            </a:ln>
          </c:spPr>
          <c:cat>
            <c:multiLvlStrRef>
              <c:f>南国ビーチ用!$B$26:$D$37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南国ビーチ用!$AF$26:$AF$37</c:f>
              <c:numCache>
                <c:formatCode>General</c:formatCode>
                <c:ptCount val="12"/>
                <c:pt idx="1">
                  <c:v>75</c:v>
                </c:pt>
                <c:pt idx="2">
                  <c:v>124</c:v>
                </c:pt>
                <c:pt idx="3">
                  <c:v>154</c:v>
                </c:pt>
                <c:pt idx="4">
                  <c:v>149</c:v>
                </c:pt>
                <c:pt idx="5">
                  <c:v>#N/A</c:v>
                </c:pt>
                <c:pt idx="6">
                  <c:v>194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</c:ser>
        <c:ser>
          <c:idx val="10"/>
          <c:order val="10"/>
          <c:tx>
            <c:strRef>
              <c:f>南国ビーチ用!$AG$25</c:f>
              <c:strCache>
                <c:ptCount val="1"/>
                <c:pt idx="0">
                  <c:v>判定３</c:v>
                </c:pt>
              </c:strCache>
            </c:strRef>
          </c:tx>
          <c:spPr>
            <a:noFill/>
            <a:ln w="28575">
              <a:solidFill>
                <a:srgbClr val="00B050"/>
              </a:solidFill>
            </a:ln>
          </c:spPr>
          <c:cat>
            <c:multiLvlStrRef>
              <c:f>南国ビーチ用!$B$26:$D$37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南国ビーチ用!$AG$26:$AG$37</c:f>
              <c:numCache>
                <c:formatCode>General</c:formatCode>
                <c:ptCount val="12"/>
                <c:pt idx="1">
                  <c:v>75</c:v>
                </c:pt>
                <c:pt idx="2">
                  <c:v>124</c:v>
                </c:pt>
                <c:pt idx="3">
                  <c:v>#N/A</c:v>
                </c:pt>
                <c:pt idx="4">
                  <c:v>149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</c:ser>
        <c:ser>
          <c:idx val="11"/>
          <c:order val="11"/>
          <c:tx>
            <c:strRef>
              <c:f>南国ビーチ用!$AH$25</c:f>
              <c:strCache>
                <c:ptCount val="1"/>
                <c:pt idx="0">
                  <c:v>判定２</c:v>
                </c:pt>
              </c:strCache>
            </c:strRef>
          </c:tx>
          <c:spPr>
            <a:noFill/>
            <a:ln w="28575">
              <a:solidFill>
                <a:srgbClr val="00B0F0"/>
              </a:solidFill>
            </a:ln>
          </c:spPr>
          <c:cat>
            <c:multiLvlStrRef>
              <c:f>南国ビーチ用!$B$26:$D$37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南国ビーチ用!$AH$26:$AH$37</c:f>
              <c:numCache>
                <c:formatCode>General</c:formatCode>
                <c:ptCount val="12"/>
                <c:pt idx="1">
                  <c:v>75</c:v>
                </c:pt>
                <c:pt idx="2">
                  <c:v>124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</c:ser>
        <c:overlap val="100"/>
        <c:axId val="64681088"/>
        <c:axId val="64654720"/>
      </c:barChart>
      <c:lineChart>
        <c:grouping val="standard"/>
        <c:ser>
          <c:idx val="3"/>
          <c:order val="3"/>
          <c:tx>
            <c:strRef>
              <c:f>南国ビーチ用!$Z$25</c:f>
              <c:strCache>
                <c:ptCount val="1"/>
                <c:pt idx="0">
                  <c:v>LimitBreak Line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r"/>
            <c:showSerName val="1"/>
          </c:dLbls>
          <c:cat>
            <c:multiLvlStrRef>
              <c:f>南国ビーチ用!$B$26:$D$37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南国ビーチ用!$Z$26:$Z$37</c:f>
              <c:numCache>
                <c:formatCode>General</c:formatCode>
                <c:ptCount val="12"/>
                <c:pt idx="0">
                  <c:v>360</c:v>
                </c:pt>
                <c:pt idx="1">
                  <c:v>360</c:v>
                </c:pt>
                <c:pt idx="2">
                  <c:v>480</c:v>
                </c:pt>
                <c:pt idx="3">
                  <c:v>360</c:v>
                </c:pt>
                <c:pt idx="4">
                  <c:v>408</c:v>
                </c:pt>
                <c:pt idx="5">
                  <c:v>360</c:v>
                </c:pt>
                <c:pt idx="6">
                  <c:v>360</c:v>
                </c:pt>
                <c:pt idx="7">
                  <c:v>360</c:v>
                </c:pt>
                <c:pt idx="8">
                  <c:v>480</c:v>
                </c:pt>
                <c:pt idx="9">
                  <c:v>360</c:v>
                </c:pt>
                <c:pt idx="10">
                  <c:v>360</c:v>
                </c:pt>
                <c:pt idx="11">
                  <c:v>360</c:v>
                </c:pt>
              </c:numCache>
            </c:numRef>
          </c:val>
        </c:ser>
        <c:ser>
          <c:idx val="4"/>
          <c:order val="4"/>
          <c:tx>
            <c:strRef>
              <c:f>南国ビーチ用!$AA$25</c:f>
              <c:strCache>
                <c:ptCount val="1"/>
                <c:pt idx="0">
                  <c:v>Critical Line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ja-JP"/>
                </a:p>
              </c:txPr>
              <c:dLblPos val="r"/>
              <c:showSerName val="1"/>
            </c:dLbl>
            <c:txPr>
              <a:bodyPr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t"/>
            <c:showSerName val="1"/>
          </c:dLbls>
          <c:cat>
            <c:multiLvlStrRef>
              <c:f>南国ビーチ用!$B$26:$D$37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南国ビーチ用!$AA$26:$AA$37</c:f>
              <c:numCache>
                <c:formatCode>General</c:formatCode>
                <c:ptCount val="12"/>
                <c:pt idx="0">
                  <c:v>205</c:v>
                </c:pt>
                <c:pt idx="1">
                  <c:v>205</c:v>
                </c:pt>
                <c:pt idx="2">
                  <c:v>274</c:v>
                </c:pt>
                <c:pt idx="3">
                  <c:v>205</c:v>
                </c:pt>
                <c:pt idx="4">
                  <c:v>233</c:v>
                </c:pt>
                <c:pt idx="5">
                  <c:v>205</c:v>
                </c:pt>
                <c:pt idx="6">
                  <c:v>205</c:v>
                </c:pt>
                <c:pt idx="7">
                  <c:v>205</c:v>
                </c:pt>
                <c:pt idx="8">
                  <c:v>274</c:v>
                </c:pt>
                <c:pt idx="9">
                  <c:v>205</c:v>
                </c:pt>
                <c:pt idx="10">
                  <c:v>205</c:v>
                </c:pt>
                <c:pt idx="11">
                  <c:v>205</c:v>
                </c:pt>
              </c:numCache>
            </c:numRef>
          </c:val>
        </c:ser>
        <c:ser>
          <c:idx val="5"/>
          <c:order val="5"/>
          <c:tx>
            <c:strRef>
              <c:f>南国ビーチ用!$AB$25</c:f>
              <c:strCache>
                <c:ptCount val="1"/>
                <c:pt idx="0">
                  <c:v>N-MAX Line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/>
              <c:showSerName val="1"/>
            </c:dLbl>
            <c:dLbl>
              <c:idx val="12"/>
              <c:showSerName val="1"/>
            </c:dLbl>
            <c:dLbl>
              <c:idx val="13"/>
              <c:showSerName val="1"/>
            </c:dLbl>
            <c:dLbl>
              <c:idx val="14"/>
              <c:showSerName val="1"/>
            </c:dLbl>
            <c:dLbl>
              <c:idx val="15"/>
              <c:showSerName val="1"/>
            </c:dLbl>
            <c:dLbl>
              <c:idx val="16"/>
              <c:showSerName val="1"/>
            </c:dLbl>
            <c:dLbl>
              <c:idx val="17"/>
              <c:showSerName val="1"/>
            </c:dLbl>
            <c:dLbl>
              <c:idx val="18"/>
              <c:showSerName val="1"/>
            </c:dLbl>
            <c:dLbl>
              <c:idx val="19"/>
              <c:showSerNam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ja-JP"/>
              </a:p>
            </c:txPr>
            <c:dLblPos val="t"/>
            <c:showSerName val="1"/>
          </c:dLbls>
          <c:cat>
            <c:multiLvlStrRef>
              <c:f>南国ビーチ用!$B$26:$D$37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南国ビーチ用!$AB$26:$AB$37</c:f>
              <c:numCache>
                <c:formatCode>General</c:formatCode>
                <c:ptCount val="12"/>
                <c:pt idx="0">
                  <c:v>156</c:v>
                </c:pt>
                <c:pt idx="1">
                  <c:v>156</c:v>
                </c:pt>
                <c:pt idx="2">
                  <c:v>202</c:v>
                </c:pt>
                <c:pt idx="3">
                  <c:v>149</c:v>
                </c:pt>
                <c:pt idx="4">
                  <c:v>162</c:v>
                </c:pt>
                <c:pt idx="5">
                  <c:v>160</c:v>
                </c:pt>
                <c:pt idx="6">
                  <c:v>154</c:v>
                </c:pt>
                <c:pt idx="7">
                  <c:v>145</c:v>
                </c:pt>
                <c:pt idx="8">
                  <c:v>196</c:v>
                </c:pt>
                <c:pt idx="9">
                  <c:v>136</c:v>
                </c:pt>
                <c:pt idx="10">
                  <c:v>122</c:v>
                </c:pt>
                <c:pt idx="11">
                  <c:v>122</c:v>
                </c:pt>
              </c:numCache>
            </c:numRef>
          </c:val>
        </c:ser>
        <c:ser>
          <c:idx val="6"/>
          <c:order val="6"/>
          <c:tx>
            <c:strRef>
              <c:f>南国ビーチ用!$AC$25</c:f>
              <c:strCache>
                <c:ptCount val="1"/>
                <c:pt idx="0">
                  <c:v>N-MIN Line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dLbls>
            <c:dLbl>
              <c:idx val="11"/>
              <c:layout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rgbClr val="00B0F0"/>
                      </a:solidFill>
                    </a:defRPr>
                  </a:pPr>
                  <a:endParaRPr lang="ja-JP"/>
                </a:p>
              </c:txPr>
              <c:showSerName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00B0F0"/>
                    </a:solidFill>
                  </a:defRPr>
                </a:pPr>
                <a:endParaRPr lang="ja-JP"/>
              </a:p>
            </c:txPr>
          </c:dLbls>
          <c:cat>
            <c:multiLvlStrRef>
              <c:f>南国ビーチ用!$B$26:$D$37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南国ビーチ用!$AC$26:$AC$37</c:f>
              <c:numCache>
                <c:formatCode>General</c:formatCode>
                <c:ptCount val="12"/>
                <c:pt idx="0">
                  <c:v>126</c:v>
                </c:pt>
                <c:pt idx="1">
                  <c:v>126</c:v>
                </c:pt>
                <c:pt idx="2">
                  <c:v>163</c:v>
                </c:pt>
                <c:pt idx="3">
                  <c:v>121</c:v>
                </c:pt>
                <c:pt idx="4">
                  <c:v>130</c:v>
                </c:pt>
                <c:pt idx="5">
                  <c:v>130</c:v>
                </c:pt>
                <c:pt idx="6">
                  <c:v>124</c:v>
                </c:pt>
                <c:pt idx="7">
                  <c:v>117</c:v>
                </c:pt>
                <c:pt idx="8">
                  <c:v>158</c:v>
                </c:pt>
                <c:pt idx="9">
                  <c:v>110</c:v>
                </c:pt>
                <c:pt idx="10">
                  <c:v>99</c:v>
                </c:pt>
                <c:pt idx="11">
                  <c:v>99</c:v>
                </c:pt>
              </c:numCache>
            </c:numRef>
          </c:val>
        </c:ser>
        <c:ser>
          <c:idx val="12"/>
          <c:order val="12"/>
          <c:tx>
            <c:strRef>
              <c:f>南国ビーチ用!$AI$25</c:f>
              <c:strCache>
                <c:ptCount val="1"/>
                <c:pt idx="0">
                  <c:v>軸合わせ用(主)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南国ビーチ用!$B$26:$D$37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南国ビーチ用!$AI$26:$AI$37</c:f>
              <c:numCache>
                <c:formatCode>General</c:formatCode>
                <c:ptCount val="12"/>
                <c:pt idx="1">
                  <c:v>360</c:v>
                </c:pt>
                <c:pt idx="2">
                  <c:v>480</c:v>
                </c:pt>
                <c:pt idx="3">
                  <c:v>360</c:v>
                </c:pt>
                <c:pt idx="4">
                  <c:v>408</c:v>
                </c:pt>
                <c:pt idx="5">
                  <c:v>360</c:v>
                </c:pt>
                <c:pt idx="6">
                  <c:v>360</c:v>
                </c:pt>
                <c:pt idx="7">
                  <c:v>360</c:v>
                </c:pt>
                <c:pt idx="8">
                  <c:v>480</c:v>
                </c:pt>
                <c:pt idx="9">
                  <c:v>462</c:v>
                </c:pt>
                <c:pt idx="10">
                  <c:v>459</c:v>
                </c:pt>
              </c:numCache>
            </c:numRef>
          </c:val>
        </c:ser>
        <c:marker val="1"/>
        <c:axId val="64651648"/>
        <c:axId val="64653184"/>
      </c:lineChart>
      <c:lineChart>
        <c:grouping val="standard"/>
        <c:ser>
          <c:idx val="13"/>
          <c:order val="13"/>
          <c:tx>
            <c:strRef>
              <c:f>南国ビーチ用!$AJ$25</c:f>
              <c:strCache>
                <c:ptCount val="1"/>
                <c:pt idx="0">
                  <c:v>軸合わせ用(2)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南国ビーチ用!$B$26:$D$37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南国ビーチ用!$AJ$26:$AJ$37</c:f>
              <c:numCache>
                <c:formatCode>General</c:formatCode>
                <c:ptCount val="12"/>
                <c:pt idx="1">
                  <c:v>360</c:v>
                </c:pt>
                <c:pt idx="2">
                  <c:v>480</c:v>
                </c:pt>
                <c:pt idx="3">
                  <c:v>360</c:v>
                </c:pt>
                <c:pt idx="4">
                  <c:v>408</c:v>
                </c:pt>
                <c:pt idx="5">
                  <c:v>360</c:v>
                </c:pt>
                <c:pt idx="6">
                  <c:v>360</c:v>
                </c:pt>
                <c:pt idx="7">
                  <c:v>360</c:v>
                </c:pt>
                <c:pt idx="8">
                  <c:v>480</c:v>
                </c:pt>
                <c:pt idx="9">
                  <c:v>462</c:v>
                </c:pt>
                <c:pt idx="10">
                  <c:v>459</c:v>
                </c:pt>
              </c:numCache>
            </c:numRef>
          </c:val>
        </c:ser>
        <c:marker val="1"/>
        <c:axId val="64681088"/>
        <c:axId val="64654720"/>
      </c:lineChart>
      <c:catAx>
        <c:axId val="64651648"/>
        <c:scaling>
          <c:orientation val="minMax"/>
        </c:scaling>
        <c:axPos val="b"/>
        <c:tickLblPos val="nextTo"/>
        <c:spPr>
          <a:ln w="9525">
            <a:prstDash val="solid"/>
          </a:ln>
        </c:spPr>
        <c:txPr>
          <a:bodyPr rot="0" vert="eaVert"/>
          <a:lstStyle/>
          <a:p>
            <a:pPr>
              <a:defRPr sz="900"/>
            </a:pPr>
            <a:endParaRPr lang="ja-JP"/>
          </a:p>
        </c:txPr>
        <c:crossAx val="64653184"/>
        <c:crosses val="autoZero"/>
        <c:auto val="1"/>
        <c:lblAlgn val="ctr"/>
        <c:lblOffset val="0"/>
      </c:catAx>
      <c:valAx>
        <c:axId val="6465318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General" sourceLinked="1"/>
        <c:tickLblPos val="nextTo"/>
        <c:crossAx val="64651648"/>
        <c:crosses val="autoZero"/>
        <c:crossBetween val="between"/>
      </c:valAx>
      <c:valAx>
        <c:axId val="64654720"/>
        <c:scaling>
          <c:orientation val="minMax"/>
        </c:scaling>
        <c:axPos val="r"/>
        <c:numFmt formatCode="General" sourceLinked="1"/>
        <c:tickLblPos val="nextTo"/>
        <c:crossAx val="64681088"/>
        <c:crosses val="max"/>
        <c:crossBetween val="between"/>
      </c:valAx>
      <c:catAx>
        <c:axId val="64681088"/>
        <c:scaling>
          <c:orientation val="minMax"/>
        </c:scaling>
        <c:delete val="1"/>
        <c:axPos val="b"/>
        <c:tickLblPos val="none"/>
        <c:crossAx val="64654720"/>
        <c:crosses val="autoZero"/>
        <c:auto val="1"/>
        <c:lblAlgn val="ctr"/>
        <c:lblOffset val="100"/>
      </c:cat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clustered"/>
        <c:ser>
          <c:idx val="0"/>
          <c:order val="0"/>
          <c:tx>
            <c:strRef>
              <c:f>通常用計算機!$L$25</c:f>
              <c:strCache>
                <c:ptCount val="1"/>
                <c:pt idx="0">
                  <c:v>判定HP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dLbls>
            <c:showVal val="1"/>
          </c:dLbls>
          <c:cat>
            <c:multiLvlStrRef>
              <c:f>通常用計算機!$D$26:$F$42</c:f>
              <c:multiLvlStrCache>
                <c:ptCount val="16"/>
                <c:lvl>
                  <c:pt idx="1">
                    <c:v>トロール</c:v>
                  </c:pt>
                  <c:pt idx="2">
                    <c:v>ブロブ</c:v>
                  </c:pt>
                  <c:pt idx="3">
                    <c:v>ブラックウーズ</c:v>
                  </c:pt>
                  <c:pt idx="4">
                    <c:v>スペクター</c:v>
                  </c:pt>
                  <c:pt idx="5">
                    <c:v>ヴァーチャー</c:v>
                  </c:pt>
                  <c:pt idx="6">
                    <c:v>ドミニオン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魔法無効</c:v>
                  </c:pt>
                  <c:pt idx="5">
                    <c:v>-</c:v>
                  </c:pt>
                  <c:pt idx="6">
                    <c:v>-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妖精</c:v>
                  </c:pt>
                  <c:pt idx="2">
                    <c:v>外道</c:v>
                  </c:pt>
                  <c:pt idx="3">
                    <c:v>外道</c:v>
                  </c:pt>
                  <c:pt idx="4">
                    <c:v>外道</c:v>
                  </c:pt>
                  <c:pt idx="5">
                    <c:v>天使</c:v>
                  </c:pt>
                  <c:pt idx="6">
                    <c:v>天使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</c:multiLvlStrCache>
            </c:multiLvlStrRef>
          </c:cat>
          <c:val>
            <c:numRef>
              <c:f>通常用計算機!$L$26:$L$42</c:f>
              <c:numCache>
                <c:formatCode>General</c:formatCode>
                <c:ptCount val="17"/>
                <c:pt idx="1">
                  <c:v>368</c:v>
                </c:pt>
                <c:pt idx="2">
                  <c:v>125</c:v>
                </c:pt>
                <c:pt idx="3">
                  <c:v>182</c:v>
                </c:pt>
                <c:pt idx="4">
                  <c:v>198</c:v>
                </c:pt>
                <c:pt idx="5">
                  <c:v>341</c:v>
                </c:pt>
                <c:pt idx="6">
                  <c:v>563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overlap val="100"/>
        <c:axId val="70767744"/>
        <c:axId val="70769280"/>
      </c:barChart>
      <c:barChart>
        <c:barDir val="col"/>
        <c:grouping val="clustered"/>
        <c:ser>
          <c:idx val="5"/>
          <c:order val="5"/>
          <c:tx>
            <c:strRef>
              <c:f>通常用計算機!$Q$25</c:f>
              <c:strCache>
                <c:ptCount val="1"/>
                <c:pt idx="0">
                  <c:v>判定１</c:v>
                </c:pt>
              </c:strCache>
            </c:strRef>
          </c:tx>
          <c:spPr>
            <a:noFill/>
            <a:ln w="28575">
              <a:solidFill>
                <a:schemeClr val="tx1">
                  <a:lumMod val="75000"/>
                  <a:lumOff val="25000"/>
                </a:schemeClr>
              </a:solidFill>
            </a:ln>
          </c:spPr>
          <c:cat>
            <c:multiLvlStrRef>
              <c:f>通常用計算機!$D$26:$F$42</c:f>
              <c:multiLvlStrCache>
                <c:ptCount val="16"/>
                <c:lvl>
                  <c:pt idx="1">
                    <c:v>トロール</c:v>
                  </c:pt>
                  <c:pt idx="2">
                    <c:v>ブロブ</c:v>
                  </c:pt>
                  <c:pt idx="3">
                    <c:v>ブラックウーズ</c:v>
                  </c:pt>
                  <c:pt idx="4">
                    <c:v>スペクター</c:v>
                  </c:pt>
                  <c:pt idx="5">
                    <c:v>ヴァーチャー</c:v>
                  </c:pt>
                  <c:pt idx="6">
                    <c:v>ドミニオン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魔法無効</c:v>
                  </c:pt>
                  <c:pt idx="5">
                    <c:v>-</c:v>
                  </c:pt>
                  <c:pt idx="6">
                    <c:v>-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妖精</c:v>
                  </c:pt>
                  <c:pt idx="2">
                    <c:v>外道</c:v>
                  </c:pt>
                  <c:pt idx="3">
                    <c:v>外道</c:v>
                  </c:pt>
                  <c:pt idx="4">
                    <c:v>外道</c:v>
                  </c:pt>
                  <c:pt idx="5">
                    <c:v>天使</c:v>
                  </c:pt>
                  <c:pt idx="6">
                    <c:v>天使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</c:multiLvlStrCache>
            </c:multiLvlStrRef>
          </c:cat>
          <c:val>
            <c:numRef>
              <c:f>通常用計算機!$Q$26:$Q$42</c:f>
              <c:numCache>
                <c:formatCode>General</c:formatCode>
                <c:ptCount val="17"/>
                <c:pt idx="1">
                  <c:v>368</c:v>
                </c:pt>
                <c:pt idx="2">
                  <c:v>125</c:v>
                </c:pt>
                <c:pt idx="3">
                  <c:v>182</c:v>
                </c:pt>
                <c:pt idx="4">
                  <c:v>198</c:v>
                </c:pt>
                <c:pt idx="5">
                  <c:v>341</c:v>
                </c:pt>
                <c:pt idx="6">
                  <c:v>563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ser>
          <c:idx val="6"/>
          <c:order val="6"/>
          <c:tx>
            <c:strRef>
              <c:f>通常用計算機!$R$25</c:f>
              <c:strCache>
                <c:ptCount val="1"/>
                <c:pt idx="0">
                  <c:v>判定５</c:v>
                </c:pt>
              </c:strCache>
            </c:strRef>
          </c:tx>
          <c:spPr>
            <a:noFill/>
            <a:ln w="28575">
              <a:solidFill>
                <a:srgbClr val="FF0000"/>
              </a:solidFill>
            </a:ln>
          </c:spPr>
          <c:cat>
            <c:multiLvlStrRef>
              <c:f>通常用計算機!$D$26:$F$42</c:f>
              <c:multiLvlStrCache>
                <c:ptCount val="16"/>
                <c:lvl>
                  <c:pt idx="1">
                    <c:v>トロール</c:v>
                  </c:pt>
                  <c:pt idx="2">
                    <c:v>ブロブ</c:v>
                  </c:pt>
                  <c:pt idx="3">
                    <c:v>ブラックウーズ</c:v>
                  </c:pt>
                  <c:pt idx="4">
                    <c:v>スペクター</c:v>
                  </c:pt>
                  <c:pt idx="5">
                    <c:v>ヴァーチャー</c:v>
                  </c:pt>
                  <c:pt idx="6">
                    <c:v>ドミニオン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魔法無効</c:v>
                  </c:pt>
                  <c:pt idx="5">
                    <c:v>-</c:v>
                  </c:pt>
                  <c:pt idx="6">
                    <c:v>-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妖精</c:v>
                  </c:pt>
                  <c:pt idx="2">
                    <c:v>外道</c:v>
                  </c:pt>
                  <c:pt idx="3">
                    <c:v>外道</c:v>
                  </c:pt>
                  <c:pt idx="4">
                    <c:v>外道</c:v>
                  </c:pt>
                  <c:pt idx="5">
                    <c:v>天使</c:v>
                  </c:pt>
                  <c:pt idx="6">
                    <c:v>天使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</c:multiLvlStrCache>
            </c:multiLvlStrRef>
          </c:cat>
          <c:val>
            <c:numRef>
              <c:f>通常用計算機!$R$26:$R$42</c:f>
              <c:numCache>
                <c:formatCode>General</c:formatCode>
                <c:ptCount val="17"/>
                <c:pt idx="1">
                  <c:v>368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341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ser>
          <c:idx val="7"/>
          <c:order val="7"/>
          <c:tx>
            <c:strRef>
              <c:f>通常用計算機!$S$25</c:f>
              <c:strCache>
                <c:ptCount val="1"/>
                <c:pt idx="0">
                  <c:v>判定４</c:v>
                </c:pt>
              </c:strCache>
            </c:strRef>
          </c:tx>
          <c:spPr>
            <a:noFill/>
            <a:ln w="28575">
              <a:solidFill>
                <a:srgbClr val="FFC000"/>
              </a:solidFill>
            </a:ln>
          </c:spPr>
          <c:cat>
            <c:multiLvlStrRef>
              <c:f>通常用計算機!$D$26:$F$42</c:f>
              <c:multiLvlStrCache>
                <c:ptCount val="16"/>
                <c:lvl>
                  <c:pt idx="1">
                    <c:v>トロール</c:v>
                  </c:pt>
                  <c:pt idx="2">
                    <c:v>ブロブ</c:v>
                  </c:pt>
                  <c:pt idx="3">
                    <c:v>ブラックウーズ</c:v>
                  </c:pt>
                  <c:pt idx="4">
                    <c:v>スペクター</c:v>
                  </c:pt>
                  <c:pt idx="5">
                    <c:v>ヴァーチャー</c:v>
                  </c:pt>
                  <c:pt idx="6">
                    <c:v>ドミニオン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魔法無効</c:v>
                  </c:pt>
                  <c:pt idx="5">
                    <c:v>-</c:v>
                  </c:pt>
                  <c:pt idx="6">
                    <c:v>-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妖精</c:v>
                  </c:pt>
                  <c:pt idx="2">
                    <c:v>外道</c:v>
                  </c:pt>
                  <c:pt idx="3">
                    <c:v>外道</c:v>
                  </c:pt>
                  <c:pt idx="4">
                    <c:v>外道</c:v>
                  </c:pt>
                  <c:pt idx="5">
                    <c:v>天使</c:v>
                  </c:pt>
                  <c:pt idx="6">
                    <c:v>天使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</c:multiLvlStrCache>
            </c:multiLvlStrRef>
          </c:cat>
          <c:val>
            <c:numRef>
              <c:f>通常用計算機!$S$26:$S$42</c:f>
              <c:numCache>
                <c:formatCode>General</c:formatCode>
                <c:ptCount val="17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ser>
          <c:idx val="8"/>
          <c:order val="8"/>
          <c:tx>
            <c:strRef>
              <c:f>通常用計算機!$T$25</c:f>
              <c:strCache>
                <c:ptCount val="1"/>
                <c:pt idx="0">
                  <c:v>判定３</c:v>
                </c:pt>
              </c:strCache>
            </c:strRef>
          </c:tx>
          <c:spPr>
            <a:noFill/>
            <a:ln w="28575">
              <a:solidFill>
                <a:srgbClr val="00B050"/>
              </a:solidFill>
            </a:ln>
          </c:spPr>
          <c:cat>
            <c:multiLvlStrRef>
              <c:f>通常用計算機!$D$26:$F$42</c:f>
              <c:multiLvlStrCache>
                <c:ptCount val="16"/>
                <c:lvl>
                  <c:pt idx="1">
                    <c:v>トロール</c:v>
                  </c:pt>
                  <c:pt idx="2">
                    <c:v>ブロブ</c:v>
                  </c:pt>
                  <c:pt idx="3">
                    <c:v>ブラックウーズ</c:v>
                  </c:pt>
                  <c:pt idx="4">
                    <c:v>スペクター</c:v>
                  </c:pt>
                  <c:pt idx="5">
                    <c:v>ヴァーチャー</c:v>
                  </c:pt>
                  <c:pt idx="6">
                    <c:v>ドミニオン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魔法無効</c:v>
                  </c:pt>
                  <c:pt idx="5">
                    <c:v>-</c:v>
                  </c:pt>
                  <c:pt idx="6">
                    <c:v>-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妖精</c:v>
                  </c:pt>
                  <c:pt idx="2">
                    <c:v>外道</c:v>
                  </c:pt>
                  <c:pt idx="3">
                    <c:v>外道</c:v>
                  </c:pt>
                  <c:pt idx="4">
                    <c:v>外道</c:v>
                  </c:pt>
                  <c:pt idx="5">
                    <c:v>天使</c:v>
                  </c:pt>
                  <c:pt idx="6">
                    <c:v>天使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</c:multiLvlStrCache>
            </c:multiLvlStrRef>
          </c:cat>
          <c:val>
            <c:numRef>
              <c:f>通常用計算機!$T$26:$T$42</c:f>
              <c:numCache>
                <c:formatCode>General</c:formatCode>
                <c:ptCount val="17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ser>
          <c:idx val="9"/>
          <c:order val="9"/>
          <c:tx>
            <c:strRef>
              <c:f>通常用計算機!$U$25</c:f>
              <c:strCache>
                <c:ptCount val="1"/>
                <c:pt idx="0">
                  <c:v>判定２</c:v>
                </c:pt>
              </c:strCache>
            </c:strRef>
          </c:tx>
          <c:spPr>
            <a:noFill/>
            <a:ln w="28575">
              <a:solidFill>
                <a:srgbClr val="00B0F0"/>
              </a:solidFill>
            </a:ln>
          </c:spPr>
          <c:cat>
            <c:multiLvlStrRef>
              <c:f>通常用計算機!$D$26:$F$42</c:f>
              <c:multiLvlStrCache>
                <c:ptCount val="16"/>
                <c:lvl>
                  <c:pt idx="1">
                    <c:v>トロール</c:v>
                  </c:pt>
                  <c:pt idx="2">
                    <c:v>ブロブ</c:v>
                  </c:pt>
                  <c:pt idx="3">
                    <c:v>ブラックウーズ</c:v>
                  </c:pt>
                  <c:pt idx="4">
                    <c:v>スペクター</c:v>
                  </c:pt>
                  <c:pt idx="5">
                    <c:v>ヴァーチャー</c:v>
                  </c:pt>
                  <c:pt idx="6">
                    <c:v>ドミニオン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魔法無効</c:v>
                  </c:pt>
                  <c:pt idx="5">
                    <c:v>-</c:v>
                  </c:pt>
                  <c:pt idx="6">
                    <c:v>-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妖精</c:v>
                  </c:pt>
                  <c:pt idx="2">
                    <c:v>外道</c:v>
                  </c:pt>
                  <c:pt idx="3">
                    <c:v>外道</c:v>
                  </c:pt>
                  <c:pt idx="4">
                    <c:v>外道</c:v>
                  </c:pt>
                  <c:pt idx="5">
                    <c:v>天使</c:v>
                  </c:pt>
                  <c:pt idx="6">
                    <c:v>天使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</c:multiLvlStrCache>
            </c:multiLvlStrRef>
          </c:cat>
          <c:val>
            <c:numRef>
              <c:f>通常用計算機!$U$26:$U$42</c:f>
              <c:numCache>
                <c:formatCode>General</c:formatCode>
                <c:ptCount val="17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overlap val="100"/>
        <c:axId val="91121536"/>
        <c:axId val="91120000"/>
      </c:barChart>
      <c:lineChart>
        <c:grouping val="standard"/>
        <c:ser>
          <c:idx val="1"/>
          <c:order val="1"/>
          <c:tx>
            <c:strRef>
              <c:f>通常用計算機!$M$25</c:f>
              <c:strCache>
                <c:ptCount val="1"/>
                <c:pt idx="0">
                  <c:v>LB Line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ja-JP"/>
              </a:p>
            </c:txPr>
            <c:showSerName val="1"/>
          </c:dLbls>
          <c:cat>
            <c:multiLvlStrRef>
              <c:f>通常用計算機!$D$26:$F$42</c:f>
              <c:multiLvlStrCache>
                <c:ptCount val="16"/>
                <c:lvl>
                  <c:pt idx="1">
                    <c:v>トロール</c:v>
                  </c:pt>
                  <c:pt idx="2">
                    <c:v>ブロブ</c:v>
                  </c:pt>
                  <c:pt idx="3">
                    <c:v>ブラックウーズ</c:v>
                  </c:pt>
                  <c:pt idx="4">
                    <c:v>スペクター</c:v>
                  </c:pt>
                  <c:pt idx="5">
                    <c:v>ヴァーチャー</c:v>
                  </c:pt>
                  <c:pt idx="6">
                    <c:v>ドミニオン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魔法無効</c:v>
                  </c:pt>
                  <c:pt idx="5">
                    <c:v>-</c:v>
                  </c:pt>
                  <c:pt idx="6">
                    <c:v>-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妖精</c:v>
                  </c:pt>
                  <c:pt idx="2">
                    <c:v>外道</c:v>
                  </c:pt>
                  <c:pt idx="3">
                    <c:v>外道</c:v>
                  </c:pt>
                  <c:pt idx="4">
                    <c:v>外道</c:v>
                  </c:pt>
                  <c:pt idx="5">
                    <c:v>天使</c:v>
                  </c:pt>
                  <c:pt idx="6">
                    <c:v>天使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</c:multiLvlStrCache>
            </c:multiLvlStrRef>
          </c:cat>
          <c:val>
            <c:numRef>
              <c:f>通常用計算機!$M$26:$M$42</c:f>
              <c:numCache>
                <c:formatCode>General</c:formatCode>
                <c:ptCount val="17"/>
                <c:pt idx="0">
                  <c:v>480</c:v>
                </c:pt>
                <c:pt idx="1">
                  <c:v>480</c:v>
                </c:pt>
                <c:pt idx="2">
                  <c:v>120</c:v>
                </c:pt>
                <c:pt idx="3">
                  <c:v>120</c:v>
                </c:pt>
                <c:pt idx="4">
                  <c:v>168</c:v>
                </c:pt>
                <c:pt idx="5">
                  <c:v>360</c:v>
                </c:pt>
                <c:pt idx="6">
                  <c:v>360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360</c:v>
                </c:pt>
              </c:numCache>
            </c:numRef>
          </c:val>
        </c:ser>
        <c:ser>
          <c:idx val="2"/>
          <c:order val="2"/>
          <c:tx>
            <c:strRef>
              <c:f>通常用計算機!$N$25</c:f>
              <c:strCache>
                <c:ptCount val="1"/>
                <c:pt idx="0">
                  <c:v>Crt Line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showSerName val="1"/>
          </c:dLbls>
          <c:cat>
            <c:multiLvlStrRef>
              <c:f>通常用計算機!$D$26:$F$42</c:f>
              <c:multiLvlStrCache>
                <c:ptCount val="16"/>
                <c:lvl>
                  <c:pt idx="1">
                    <c:v>トロール</c:v>
                  </c:pt>
                  <c:pt idx="2">
                    <c:v>ブロブ</c:v>
                  </c:pt>
                  <c:pt idx="3">
                    <c:v>ブラックウーズ</c:v>
                  </c:pt>
                  <c:pt idx="4">
                    <c:v>スペクター</c:v>
                  </c:pt>
                  <c:pt idx="5">
                    <c:v>ヴァーチャー</c:v>
                  </c:pt>
                  <c:pt idx="6">
                    <c:v>ドミニオン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魔法無効</c:v>
                  </c:pt>
                  <c:pt idx="5">
                    <c:v>-</c:v>
                  </c:pt>
                  <c:pt idx="6">
                    <c:v>-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妖精</c:v>
                  </c:pt>
                  <c:pt idx="2">
                    <c:v>外道</c:v>
                  </c:pt>
                  <c:pt idx="3">
                    <c:v>外道</c:v>
                  </c:pt>
                  <c:pt idx="4">
                    <c:v>外道</c:v>
                  </c:pt>
                  <c:pt idx="5">
                    <c:v>天使</c:v>
                  </c:pt>
                  <c:pt idx="6">
                    <c:v>天使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</c:multiLvlStrCache>
            </c:multiLvlStrRef>
          </c:cat>
          <c:val>
            <c:numRef>
              <c:f>通常用計算機!$N$26:$N$42</c:f>
              <c:numCache>
                <c:formatCode>General</c:formatCode>
                <c:ptCount val="17"/>
                <c:pt idx="0">
                  <c:v>274</c:v>
                </c:pt>
                <c:pt idx="1">
                  <c:v>274</c:v>
                </c:pt>
                <c:pt idx="2">
                  <c:v>68</c:v>
                </c:pt>
                <c:pt idx="3">
                  <c:v>68</c:v>
                </c:pt>
                <c:pt idx="4">
                  <c:v>96</c:v>
                </c:pt>
                <c:pt idx="5">
                  <c:v>205</c:v>
                </c:pt>
                <c:pt idx="6">
                  <c:v>205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205</c:v>
                </c:pt>
              </c:numCache>
            </c:numRef>
          </c:val>
        </c:ser>
        <c:ser>
          <c:idx val="3"/>
          <c:order val="3"/>
          <c:tx>
            <c:strRef>
              <c:f>通常用計算機!$O$25</c:f>
              <c:strCache>
                <c:ptCount val="1"/>
                <c:pt idx="0">
                  <c:v>N-MAX Line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ja-JP"/>
              </a:p>
            </c:txPr>
            <c:dLblPos val="r"/>
            <c:showSerName val="1"/>
          </c:dLbls>
          <c:cat>
            <c:multiLvlStrRef>
              <c:f>通常用計算機!$D$26:$F$42</c:f>
              <c:multiLvlStrCache>
                <c:ptCount val="16"/>
                <c:lvl>
                  <c:pt idx="1">
                    <c:v>トロール</c:v>
                  </c:pt>
                  <c:pt idx="2">
                    <c:v>ブロブ</c:v>
                  </c:pt>
                  <c:pt idx="3">
                    <c:v>ブラックウーズ</c:v>
                  </c:pt>
                  <c:pt idx="4">
                    <c:v>スペクター</c:v>
                  </c:pt>
                  <c:pt idx="5">
                    <c:v>ヴァーチャー</c:v>
                  </c:pt>
                  <c:pt idx="6">
                    <c:v>ドミニオン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魔法無効</c:v>
                  </c:pt>
                  <c:pt idx="5">
                    <c:v>-</c:v>
                  </c:pt>
                  <c:pt idx="6">
                    <c:v>-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妖精</c:v>
                  </c:pt>
                  <c:pt idx="2">
                    <c:v>外道</c:v>
                  </c:pt>
                  <c:pt idx="3">
                    <c:v>外道</c:v>
                  </c:pt>
                  <c:pt idx="4">
                    <c:v>外道</c:v>
                  </c:pt>
                  <c:pt idx="5">
                    <c:v>天使</c:v>
                  </c:pt>
                  <c:pt idx="6">
                    <c:v>天使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</c:multiLvlStrCache>
            </c:multiLvlStrRef>
          </c:cat>
          <c:val>
            <c:numRef>
              <c:f>通常用計算機!$O$26:$O$42</c:f>
              <c:numCache>
                <c:formatCode>General</c:formatCode>
                <c:ptCount val="17"/>
                <c:pt idx="0">
                  <c:v>196</c:v>
                </c:pt>
                <c:pt idx="1">
                  <c:v>196</c:v>
                </c:pt>
                <c:pt idx="2">
                  <c:v>52</c:v>
                </c:pt>
                <c:pt idx="3">
                  <c:v>52</c:v>
                </c:pt>
                <c:pt idx="4">
                  <c:v>64</c:v>
                </c:pt>
                <c:pt idx="5">
                  <c:v>111</c:v>
                </c:pt>
                <c:pt idx="6">
                  <c:v>96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96</c:v>
                </c:pt>
              </c:numCache>
            </c:numRef>
          </c:val>
        </c:ser>
        <c:ser>
          <c:idx val="4"/>
          <c:order val="4"/>
          <c:tx>
            <c:strRef>
              <c:f>通常用計算機!$P$25</c:f>
              <c:strCache>
                <c:ptCount val="1"/>
                <c:pt idx="0">
                  <c:v>N-MIN Line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>
                    <a:solidFill>
                      <a:srgbClr val="00B0F0"/>
                    </a:solidFill>
                  </a:defRPr>
                </a:pPr>
                <a:endParaRPr lang="ja-JP"/>
              </a:p>
            </c:txPr>
            <c:dLblPos val="r"/>
            <c:showSerName val="1"/>
          </c:dLbls>
          <c:cat>
            <c:multiLvlStrRef>
              <c:f>通常用計算機!$D$26:$F$42</c:f>
              <c:multiLvlStrCache>
                <c:ptCount val="16"/>
                <c:lvl>
                  <c:pt idx="1">
                    <c:v>トロール</c:v>
                  </c:pt>
                  <c:pt idx="2">
                    <c:v>ブロブ</c:v>
                  </c:pt>
                  <c:pt idx="3">
                    <c:v>ブラックウーズ</c:v>
                  </c:pt>
                  <c:pt idx="4">
                    <c:v>スペクター</c:v>
                  </c:pt>
                  <c:pt idx="5">
                    <c:v>ヴァーチャー</c:v>
                  </c:pt>
                  <c:pt idx="6">
                    <c:v>ドミニオン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魔法無効</c:v>
                  </c:pt>
                  <c:pt idx="5">
                    <c:v>-</c:v>
                  </c:pt>
                  <c:pt idx="6">
                    <c:v>-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妖精</c:v>
                  </c:pt>
                  <c:pt idx="2">
                    <c:v>外道</c:v>
                  </c:pt>
                  <c:pt idx="3">
                    <c:v>外道</c:v>
                  </c:pt>
                  <c:pt idx="4">
                    <c:v>外道</c:v>
                  </c:pt>
                  <c:pt idx="5">
                    <c:v>天使</c:v>
                  </c:pt>
                  <c:pt idx="6">
                    <c:v>天使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</c:multiLvlStrCache>
            </c:multiLvlStrRef>
          </c:cat>
          <c:val>
            <c:numRef>
              <c:f>通常用計算機!$P$26:$P$42</c:f>
              <c:numCache>
                <c:formatCode>General</c:formatCode>
                <c:ptCount val="17"/>
                <c:pt idx="0">
                  <c:v>158</c:v>
                </c:pt>
                <c:pt idx="1">
                  <c:v>158</c:v>
                </c:pt>
                <c:pt idx="2">
                  <c:v>42</c:v>
                </c:pt>
                <c:pt idx="3">
                  <c:v>42</c:v>
                </c:pt>
                <c:pt idx="4">
                  <c:v>52</c:v>
                </c:pt>
                <c:pt idx="5">
                  <c:v>90</c:v>
                </c:pt>
                <c:pt idx="6">
                  <c:v>77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77</c:v>
                </c:pt>
              </c:numCache>
            </c:numRef>
          </c:val>
        </c:ser>
        <c:ser>
          <c:idx val="10"/>
          <c:order val="10"/>
          <c:tx>
            <c:strRef>
              <c:f>通常用計算機!$V$25</c:f>
              <c:strCache>
                <c:ptCount val="1"/>
                <c:pt idx="0">
                  <c:v>軸合わせ用(主)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通常用計算機!$D$26:$F$42</c:f>
              <c:multiLvlStrCache>
                <c:ptCount val="16"/>
                <c:lvl>
                  <c:pt idx="1">
                    <c:v>トロール</c:v>
                  </c:pt>
                  <c:pt idx="2">
                    <c:v>ブロブ</c:v>
                  </c:pt>
                  <c:pt idx="3">
                    <c:v>ブラックウーズ</c:v>
                  </c:pt>
                  <c:pt idx="4">
                    <c:v>スペクター</c:v>
                  </c:pt>
                  <c:pt idx="5">
                    <c:v>ヴァーチャー</c:v>
                  </c:pt>
                  <c:pt idx="6">
                    <c:v>ドミニオン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魔法無効</c:v>
                  </c:pt>
                  <c:pt idx="5">
                    <c:v>-</c:v>
                  </c:pt>
                  <c:pt idx="6">
                    <c:v>-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妖精</c:v>
                  </c:pt>
                  <c:pt idx="2">
                    <c:v>外道</c:v>
                  </c:pt>
                  <c:pt idx="3">
                    <c:v>外道</c:v>
                  </c:pt>
                  <c:pt idx="4">
                    <c:v>外道</c:v>
                  </c:pt>
                  <c:pt idx="5">
                    <c:v>天使</c:v>
                  </c:pt>
                  <c:pt idx="6">
                    <c:v>天使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</c:multiLvlStrCache>
            </c:multiLvlStrRef>
          </c:cat>
          <c:val>
            <c:numRef>
              <c:f>通常用計算機!$V$26:$V$42</c:f>
              <c:numCache>
                <c:formatCode>General</c:formatCode>
                <c:ptCount val="17"/>
                <c:pt idx="1">
                  <c:v>480</c:v>
                </c:pt>
                <c:pt idx="2">
                  <c:v>125</c:v>
                </c:pt>
                <c:pt idx="3">
                  <c:v>182</c:v>
                </c:pt>
                <c:pt idx="4">
                  <c:v>198</c:v>
                </c:pt>
                <c:pt idx="5">
                  <c:v>360</c:v>
                </c:pt>
                <c:pt idx="6">
                  <c:v>563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marker val="1"/>
        <c:axId val="70767744"/>
        <c:axId val="70769280"/>
      </c:lineChart>
      <c:lineChart>
        <c:grouping val="standard"/>
        <c:ser>
          <c:idx val="11"/>
          <c:order val="11"/>
          <c:tx>
            <c:strRef>
              <c:f>通常用計算機!$W$25</c:f>
              <c:strCache>
                <c:ptCount val="1"/>
                <c:pt idx="0">
                  <c:v>軸合わせ用(2)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通常用計算機!$D$26:$F$42</c:f>
              <c:multiLvlStrCache>
                <c:ptCount val="16"/>
                <c:lvl>
                  <c:pt idx="1">
                    <c:v>トロール</c:v>
                  </c:pt>
                  <c:pt idx="2">
                    <c:v>ブロブ</c:v>
                  </c:pt>
                  <c:pt idx="3">
                    <c:v>ブラックウーズ</c:v>
                  </c:pt>
                  <c:pt idx="4">
                    <c:v>スペクター</c:v>
                  </c:pt>
                  <c:pt idx="5">
                    <c:v>ヴァーチャー</c:v>
                  </c:pt>
                  <c:pt idx="6">
                    <c:v>ドミニオン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魔法無効</c:v>
                  </c:pt>
                  <c:pt idx="5">
                    <c:v>-</c:v>
                  </c:pt>
                  <c:pt idx="6">
                    <c:v>-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  <c:lvl>
                  <c:pt idx="1">
                    <c:v>妖精</c:v>
                  </c:pt>
                  <c:pt idx="2">
                    <c:v>外道</c:v>
                  </c:pt>
                  <c:pt idx="3">
                    <c:v>外道</c:v>
                  </c:pt>
                  <c:pt idx="4">
                    <c:v>外道</c:v>
                  </c:pt>
                  <c:pt idx="5">
                    <c:v>天使</c:v>
                  </c:pt>
                  <c:pt idx="6">
                    <c:v>天使</c:v>
                  </c:pt>
                  <c:pt idx="7">
                    <c:v>#N/A</c:v>
                  </c:pt>
                  <c:pt idx="8">
                    <c:v>#N/A</c:v>
                  </c:pt>
                  <c:pt idx="9">
                    <c:v>#N/A</c:v>
                  </c:pt>
                  <c:pt idx="10">
                    <c:v>#N/A</c:v>
                  </c:pt>
                  <c:pt idx="11">
                    <c:v>#N/A</c:v>
                  </c:pt>
                  <c:pt idx="12">
                    <c:v>#N/A</c:v>
                  </c:pt>
                  <c:pt idx="13">
                    <c:v>#N/A</c:v>
                  </c:pt>
                  <c:pt idx="14">
                    <c:v>#N/A</c:v>
                  </c:pt>
                  <c:pt idx="15">
                    <c:v>#N/A</c:v>
                  </c:pt>
                </c:lvl>
              </c:multiLvlStrCache>
            </c:multiLvlStrRef>
          </c:cat>
          <c:val>
            <c:numRef>
              <c:f>通常用計算機!$W$26:$W$42</c:f>
              <c:numCache>
                <c:formatCode>General</c:formatCode>
                <c:ptCount val="17"/>
                <c:pt idx="1">
                  <c:v>480</c:v>
                </c:pt>
                <c:pt idx="2">
                  <c:v>125</c:v>
                </c:pt>
                <c:pt idx="3">
                  <c:v>182</c:v>
                </c:pt>
                <c:pt idx="4">
                  <c:v>198</c:v>
                </c:pt>
                <c:pt idx="5">
                  <c:v>360</c:v>
                </c:pt>
                <c:pt idx="6">
                  <c:v>563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</c:ser>
        <c:marker val="1"/>
        <c:axId val="91121536"/>
        <c:axId val="91120000"/>
      </c:lineChart>
      <c:catAx>
        <c:axId val="70767744"/>
        <c:scaling>
          <c:orientation val="minMax"/>
        </c:scaling>
        <c:axPos val="b"/>
        <c:tickLblPos val="nextTo"/>
        <c:spPr>
          <a:ln w="9525">
            <a:prstDash val="solid"/>
          </a:ln>
        </c:spPr>
        <c:txPr>
          <a:bodyPr rot="0" vert="eaVert"/>
          <a:lstStyle/>
          <a:p>
            <a:pPr>
              <a:defRPr sz="900"/>
            </a:pPr>
            <a:endParaRPr lang="ja-JP"/>
          </a:p>
        </c:txPr>
        <c:crossAx val="70769280"/>
        <c:crosses val="autoZero"/>
        <c:auto val="1"/>
        <c:lblAlgn val="ctr"/>
        <c:lblOffset val="0"/>
      </c:catAx>
      <c:valAx>
        <c:axId val="7076928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General" sourceLinked="1"/>
        <c:tickLblPos val="nextTo"/>
        <c:crossAx val="70767744"/>
        <c:crosses val="autoZero"/>
        <c:crossBetween val="between"/>
      </c:valAx>
      <c:valAx>
        <c:axId val="91120000"/>
        <c:scaling>
          <c:orientation val="minMax"/>
        </c:scaling>
        <c:axPos val="r"/>
        <c:numFmt formatCode="General" sourceLinked="1"/>
        <c:tickLblPos val="nextTo"/>
        <c:crossAx val="91121536"/>
        <c:crosses val="max"/>
        <c:crossBetween val="between"/>
      </c:valAx>
      <c:catAx>
        <c:axId val="91121536"/>
        <c:scaling>
          <c:orientation val="minMax"/>
        </c:scaling>
        <c:delete val="1"/>
        <c:axPos val="b"/>
        <c:tickLblPos val="none"/>
        <c:crossAx val="91120000"/>
        <c:crosses val="autoZero"/>
        <c:auto val="1"/>
        <c:lblAlgn val="ctr"/>
        <c:lblOffset val="100"/>
      </c:cat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barChart>
        <c:barDir val="col"/>
        <c:grouping val="stacked"/>
        <c:ser>
          <c:idx val="0"/>
          <c:order val="0"/>
          <c:tx>
            <c:strRef>
              <c:f>'南国ビーチ(耐性HP換算タイプ)'!$U$25</c:f>
              <c:strCache>
                <c:ptCount val="1"/>
                <c:pt idx="0">
                  <c:v>判定HP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cat>
            <c:multiLvlStrRef>
              <c:f>'南国ビーチ(耐性HP換算タイプ)'!$B$26:$D$37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'南国ビーチ(耐性HP換算タイプ)'!$U$26:$U$37</c:f>
              <c:numCache>
                <c:formatCode>General</c:formatCode>
                <c:ptCount val="12"/>
                <c:pt idx="1">
                  <c:v>75</c:v>
                </c:pt>
                <c:pt idx="2">
                  <c:v>124</c:v>
                </c:pt>
                <c:pt idx="3">
                  <c:v>154</c:v>
                </c:pt>
                <c:pt idx="4">
                  <c:v>149</c:v>
                </c:pt>
                <c:pt idx="5">
                  <c:v>215</c:v>
                </c:pt>
                <c:pt idx="6">
                  <c:v>194</c:v>
                </c:pt>
                <c:pt idx="7">
                  <c:v>285</c:v>
                </c:pt>
                <c:pt idx="8">
                  <c:v>368</c:v>
                </c:pt>
                <c:pt idx="9">
                  <c:v>462</c:v>
                </c:pt>
                <c:pt idx="10">
                  <c:v>459</c:v>
                </c:pt>
              </c:numCache>
            </c:numRef>
          </c:val>
        </c:ser>
        <c:ser>
          <c:idx val="1"/>
          <c:order val="1"/>
          <c:tx>
            <c:strRef>
              <c:f>'南国ビーチ(耐性HP換算タイプ)'!$V$25</c:f>
              <c:strCache>
                <c:ptCount val="1"/>
                <c:pt idx="0">
                  <c:v>上乗せHP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</c:spPr>
          <c:cat>
            <c:multiLvlStrRef>
              <c:f>'南国ビーチ(耐性HP換算タイプ)'!$B$26:$D$37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'南国ビーチ(耐性HP換算タイプ)'!$V$26:$V$37</c:f>
              <c:numCache>
                <c:formatCode>General</c:formatCode>
                <c:ptCount val="12"/>
                <c:pt idx="1">
                  <c:v>25</c:v>
                </c:pt>
                <c:pt idx="2">
                  <c:v>#N/A</c:v>
                </c:pt>
                <c:pt idx="3">
                  <c:v>51</c:v>
                </c:pt>
                <c:pt idx="4">
                  <c:v>26</c:v>
                </c:pt>
                <c:pt idx="5">
                  <c:v>71</c:v>
                </c:pt>
                <c:pt idx="6">
                  <c:v>64</c:v>
                </c:pt>
                <c:pt idx="7">
                  <c:v>95</c:v>
                </c:pt>
                <c:pt idx="8">
                  <c:v>#N/A</c:v>
                </c:pt>
                <c:pt idx="9">
                  <c:v>154</c:v>
                </c:pt>
                <c:pt idx="10">
                  <c:v>153</c:v>
                </c:pt>
              </c:numCache>
            </c:numRef>
          </c:val>
        </c:ser>
        <c:ser>
          <c:idx val="2"/>
          <c:order val="2"/>
          <c:tx>
            <c:strRef>
              <c:f>'南国ビーチ(耐性HP換算タイプ)'!$W$25</c:f>
              <c:strCache>
                <c:ptCount val="1"/>
                <c:pt idx="0">
                  <c:v>下乗せHP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bg1">
                  <a:lumMod val="65000"/>
                </a:schemeClr>
              </a:solidFill>
              <a:prstDash val="sysDash"/>
            </a:ln>
          </c:spPr>
          <c:cat>
            <c:multiLvlStrRef>
              <c:f>'南国ビーチ(耐性HP換算タイプ)'!$B$26:$D$37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'南国ビーチ(耐性HP換算タイプ)'!$W$26:$W$37</c:f>
              <c:numCache>
                <c:formatCode>General</c:formatCode>
                <c:ptCount val="12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</c:ser>
        <c:overlap val="100"/>
        <c:axId val="91820032"/>
        <c:axId val="91821568"/>
      </c:barChart>
      <c:barChart>
        <c:barDir val="col"/>
        <c:grouping val="clustered"/>
        <c:ser>
          <c:idx val="7"/>
          <c:order val="7"/>
          <c:tx>
            <c:strRef>
              <c:f>'南国ビーチ(耐性HP換算タイプ)'!$AB$25</c:f>
              <c:strCache>
                <c:ptCount val="1"/>
                <c:pt idx="0">
                  <c:v>判定１</c:v>
                </c:pt>
              </c:strCache>
            </c:strRef>
          </c:tx>
          <c:spPr>
            <a:noFill/>
            <a:ln w="28575">
              <a:solidFill>
                <a:schemeClr val="tx1">
                  <a:lumMod val="75000"/>
                  <a:lumOff val="25000"/>
                </a:schemeClr>
              </a:solidFill>
            </a:ln>
          </c:spPr>
          <c:dLbls>
            <c:spPr>
              <a:effectLst/>
            </c:spPr>
            <c:txPr>
              <a:bodyPr/>
              <a:lstStyle/>
              <a:p>
                <a:pPr>
                  <a:defRPr>
                    <a:effectLst>
                      <a:glow rad="152400">
                        <a:sysClr val="window" lastClr="FFFFFF">
                          <a:alpha val="70000"/>
                        </a:sysClr>
                      </a:glow>
                    </a:effectLst>
                  </a:defRPr>
                </a:pPr>
                <a:endParaRPr lang="ja-JP"/>
              </a:p>
            </c:txPr>
            <c:dLblPos val="inEnd"/>
            <c:showVal val="1"/>
          </c:dLbls>
          <c:cat>
            <c:multiLvlStrRef>
              <c:f>'南国ビーチ(耐性HP換算タイプ)'!$B$26:$D$37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'南国ビーチ(耐性HP換算タイプ)'!$AB$26:$AB$37</c:f>
              <c:numCache>
                <c:formatCode>General</c:formatCode>
                <c:ptCount val="12"/>
                <c:pt idx="1">
                  <c:v>100</c:v>
                </c:pt>
                <c:pt idx="2">
                  <c:v>124</c:v>
                </c:pt>
                <c:pt idx="3">
                  <c:v>205</c:v>
                </c:pt>
                <c:pt idx="4">
                  <c:v>175</c:v>
                </c:pt>
                <c:pt idx="5">
                  <c:v>286</c:v>
                </c:pt>
                <c:pt idx="6">
                  <c:v>258</c:v>
                </c:pt>
                <c:pt idx="7">
                  <c:v>380</c:v>
                </c:pt>
                <c:pt idx="8">
                  <c:v>368</c:v>
                </c:pt>
                <c:pt idx="9">
                  <c:v>616</c:v>
                </c:pt>
                <c:pt idx="10">
                  <c:v>612</c:v>
                </c:pt>
              </c:numCache>
            </c:numRef>
          </c:val>
        </c:ser>
        <c:ser>
          <c:idx val="8"/>
          <c:order val="8"/>
          <c:tx>
            <c:strRef>
              <c:f>'南国ビーチ(耐性HP換算タイプ)'!$AC$25</c:f>
              <c:strCache>
                <c:ptCount val="1"/>
                <c:pt idx="0">
                  <c:v>判定５</c:v>
                </c:pt>
              </c:strCache>
            </c:strRef>
          </c:tx>
          <c:spPr>
            <a:noFill/>
            <a:ln w="28575">
              <a:solidFill>
                <a:srgbClr val="FF0000"/>
              </a:solidFill>
            </a:ln>
          </c:spPr>
          <c:cat>
            <c:multiLvlStrRef>
              <c:f>'南国ビーチ(耐性HP換算タイプ)'!$B$26:$D$37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'南国ビーチ(耐性HP換算タイプ)'!$AC$26:$AC$37</c:f>
              <c:numCache>
                <c:formatCode>General</c:formatCode>
                <c:ptCount val="12"/>
                <c:pt idx="1">
                  <c:v>100</c:v>
                </c:pt>
                <c:pt idx="2">
                  <c:v>124</c:v>
                </c:pt>
                <c:pt idx="3">
                  <c:v>205</c:v>
                </c:pt>
                <c:pt idx="4">
                  <c:v>175</c:v>
                </c:pt>
                <c:pt idx="5">
                  <c:v>286</c:v>
                </c:pt>
                <c:pt idx="6">
                  <c:v>258</c:v>
                </c:pt>
                <c:pt idx="7">
                  <c:v>380</c:v>
                </c:pt>
                <c:pt idx="8">
                  <c:v>368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</c:ser>
        <c:ser>
          <c:idx val="9"/>
          <c:order val="9"/>
          <c:tx>
            <c:strRef>
              <c:f>'南国ビーチ(耐性HP換算タイプ)'!$AD$25</c:f>
              <c:strCache>
                <c:ptCount val="1"/>
                <c:pt idx="0">
                  <c:v>判定４</c:v>
                </c:pt>
              </c:strCache>
            </c:strRef>
          </c:tx>
          <c:spPr>
            <a:noFill/>
            <a:ln w="28575">
              <a:solidFill>
                <a:schemeClr val="accent6">
                  <a:lumMod val="75000"/>
                </a:schemeClr>
              </a:solidFill>
            </a:ln>
          </c:spPr>
          <c:cat>
            <c:multiLvlStrRef>
              <c:f>'南国ビーチ(耐性HP換算タイプ)'!$B$26:$D$37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'南国ビーチ(耐性HP換算タイプ)'!$AD$26:$AD$37</c:f>
              <c:numCache>
                <c:formatCode>General</c:formatCode>
                <c:ptCount val="12"/>
                <c:pt idx="1">
                  <c:v>100</c:v>
                </c:pt>
                <c:pt idx="2">
                  <c:v>124</c:v>
                </c:pt>
                <c:pt idx="3">
                  <c:v>205</c:v>
                </c:pt>
                <c:pt idx="4">
                  <c:v>175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</c:ser>
        <c:ser>
          <c:idx val="10"/>
          <c:order val="10"/>
          <c:tx>
            <c:strRef>
              <c:f>'南国ビーチ(耐性HP換算タイプ)'!$AE$25</c:f>
              <c:strCache>
                <c:ptCount val="1"/>
                <c:pt idx="0">
                  <c:v>判定３</c:v>
                </c:pt>
              </c:strCache>
            </c:strRef>
          </c:tx>
          <c:spPr>
            <a:noFill/>
            <a:ln w="28575">
              <a:solidFill>
                <a:srgbClr val="00B050"/>
              </a:solidFill>
            </a:ln>
          </c:spPr>
          <c:cat>
            <c:multiLvlStrRef>
              <c:f>'南国ビーチ(耐性HP換算タイプ)'!$B$26:$D$37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'南国ビーチ(耐性HP換算タイプ)'!$AE$26:$AE$37</c:f>
              <c:numCache>
                <c:formatCode>General</c:formatCode>
                <c:ptCount val="12"/>
                <c:pt idx="1">
                  <c:v>100</c:v>
                </c:pt>
                <c:pt idx="2">
                  <c:v>124</c:v>
                </c:pt>
                <c:pt idx="3">
                  <c:v>#N/A</c:v>
                </c:pt>
                <c:pt idx="4">
                  <c:v>175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</c:ser>
        <c:ser>
          <c:idx val="11"/>
          <c:order val="11"/>
          <c:tx>
            <c:strRef>
              <c:f>'南国ビーチ(耐性HP換算タイプ)'!$AF$25</c:f>
              <c:strCache>
                <c:ptCount val="1"/>
                <c:pt idx="0">
                  <c:v>判定２</c:v>
                </c:pt>
              </c:strCache>
            </c:strRef>
          </c:tx>
          <c:spPr>
            <a:noFill/>
            <a:ln w="28575">
              <a:solidFill>
                <a:srgbClr val="00B0F0"/>
              </a:solidFill>
            </a:ln>
          </c:spPr>
          <c:cat>
            <c:multiLvlStrRef>
              <c:f>'南国ビーチ(耐性HP換算タイプ)'!$B$26:$D$37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'南国ビーチ(耐性HP換算タイプ)'!$AF$26:$AF$37</c:f>
              <c:numCache>
                <c:formatCode>General</c:formatCode>
                <c:ptCount val="12"/>
                <c:pt idx="1">
                  <c:v>100</c:v>
                </c:pt>
                <c:pt idx="2">
                  <c:v>124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val>
        </c:ser>
        <c:overlap val="100"/>
        <c:axId val="91828992"/>
        <c:axId val="91823104"/>
      </c:barChart>
      <c:lineChart>
        <c:grouping val="standard"/>
        <c:ser>
          <c:idx val="3"/>
          <c:order val="3"/>
          <c:tx>
            <c:strRef>
              <c:f>'南国ビーチ(耐性HP換算タイプ)'!$X$25</c:f>
              <c:strCache>
                <c:ptCount val="1"/>
                <c:pt idx="0">
                  <c:v>LimitBreak Line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r"/>
            <c:showSerName val="1"/>
          </c:dLbls>
          <c:cat>
            <c:multiLvlStrRef>
              <c:f>'南国ビーチ(耐性HP換算タイプ)'!$B$26:$D$37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'南国ビーチ(耐性HP換算タイプ)'!$X$26:$X$37</c:f>
              <c:numCache>
                <c:formatCode>General</c:formatCode>
                <c:ptCount val="12"/>
                <c:pt idx="0">
                  <c:v>446</c:v>
                </c:pt>
                <c:pt idx="1">
                  <c:v>446</c:v>
                </c:pt>
                <c:pt idx="2">
                  <c:v>446</c:v>
                </c:pt>
                <c:pt idx="3">
                  <c:v>446</c:v>
                </c:pt>
                <c:pt idx="4">
                  <c:v>446</c:v>
                </c:pt>
                <c:pt idx="5">
                  <c:v>446</c:v>
                </c:pt>
                <c:pt idx="6">
                  <c:v>446</c:v>
                </c:pt>
                <c:pt idx="7">
                  <c:v>446</c:v>
                </c:pt>
                <c:pt idx="8">
                  <c:v>446</c:v>
                </c:pt>
                <c:pt idx="9">
                  <c:v>446</c:v>
                </c:pt>
                <c:pt idx="10">
                  <c:v>446</c:v>
                </c:pt>
                <c:pt idx="11">
                  <c:v>446</c:v>
                </c:pt>
              </c:numCache>
            </c:numRef>
          </c:val>
        </c:ser>
        <c:ser>
          <c:idx val="4"/>
          <c:order val="4"/>
          <c:tx>
            <c:strRef>
              <c:f>'南国ビーチ(耐性HP換算タイプ)'!$Y$25</c:f>
              <c:strCache>
                <c:ptCount val="1"/>
                <c:pt idx="0">
                  <c:v>Critical Line</c:v>
                </c:pt>
              </c:strCache>
            </c:strRef>
          </c:tx>
          <c:spPr>
            <a:ln w="25400">
              <a:solidFill>
                <a:srgbClr val="FFC000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6">
                          <a:lumMod val="75000"/>
                        </a:schemeClr>
                      </a:solidFill>
                    </a:defRPr>
                  </a:pPr>
                  <a:endParaRPr lang="ja-JP"/>
                </a:p>
              </c:txPr>
              <c:dLblPos val="r"/>
              <c:showSerName val="1"/>
            </c:dLbl>
            <c:txPr>
              <a:bodyPr/>
              <a:lstStyle/>
              <a:p>
                <a:pPr>
                  <a:defRPr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t"/>
            <c:showSerName val="1"/>
          </c:dLbls>
          <c:cat>
            <c:multiLvlStrRef>
              <c:f>'南国ビーチ(耐性HP換算タイプ)'!$B$26:$D$37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'南国ビーチ(耐性HP換算タイプ)'!$Y$26:$Y$37</c:f>
              <c:numCache>
                <c:formatCode>General</c:formatCode>
                <c:ptCount val="12"/>
                <c:pt idx="0">
                  <c:v>254</c:v>
                </c:pt>
                <c:pt idx="1">
                  <c:v>254</c:v>
                </c:pt>
                <c:pt idx="2">
                  <c:v>254</c:v>
                </c:pt>
                <c:pt idx="3">
                  <c:v>254</c:v>
                </c:pt>
                <c:pt idx="4">
                  <c:v>254</c:v>
                </c:pt>
                <c:pt idx="5">
                  <c:v>254</c:v>
                </c:pt>
                <c:pt idx="6">
                  <c:v>254</c:v>
                </c:pt>
                <c:pt idx="7">
                  <c:v>254</c:v>
                </c:pt>
                <c:pt idx="8">
                  <c:v>254</c:v>
                </c:pt>
                <c:pt idx="9">
                  <c:v>254</c:v>
                </c:pt>
                <c:pt idx="10">
                  <c:v>254</c:v>
                </c:pt>
                <c:pt idx="11">
                  <c:v>254</c:v>
                </c:pt>
              </c:numCache>
            </c:numRef>
          </c:val>
        </c:ser>
        <c:ser>
          <c:idx val="5"/>
          <c:order val="5"/>
          <c:tx>
            <c:strRef>
              <c:f>'南国ビーチ(耐性HP換算タイプ)'!$Z$25</c:f>
              <c:strCache>
                <c:ptCount val="1"/>
                <c:pt idx="0">
                  <c:v>N-MAX Line</c:v>
                </c:pt>
              </c:strCache>
            </c:strRef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/>
              <c:showSerName val="1"/>
            </c:dLbl>
            <c:dLbl>
              <c:idx val="12"/>
              <c:showSerName val="1"/>
            </c:dLbl>
            <c:dLbl>
              <c:idx val="13"/>
              <c:showSerName val="1"/>
            </c:dLbl>
            <c:dLbl>
              <c:idx val="14"/>
              <c:showSerName val="1"/>
            </c:dLbl>
            <c:dLbl>
              <c:idx val="15"/>
              <c:showSerName val="1"/>
            </c:dLbl>
            <c:dLbl>
              <c:idx val="16"/>
              <c:showSerName val="1"/>
            </c:dLbl>
            <c:dLbl>
              <c:idx val="17"/>
              <c:showSerName val="1"/>
            </c:dLbl>
            <c:dLbl>
              <c:idx val="18"/>
              <c:showSerName val="1"/>
            </c:dLbl>
            <c:dLbl>
              <c:idx val="19"/>
              <c:showSerName val="1"/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ja-JP"/>
              </a:p>
            </c:txPr>
            <c:dLblPos val="t"/>
            <c:showSerName val="1"/>
          </c:dLbls>
          <c:cat>
            <c:multiLvlStrRef>
              <c:f>'南国ビーチ(耐性HP換算タイプ)'!$B$26:$D$37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'南国ビーチ(耐性HP換算タイプ)'!$Z$26:$Z$37</c:f>
              <c:numCache>
                <c:formatCode>General</c:formatCode>
                <c:ptCount val="12"/>
                <c:pt idx="0">
                  <c:v>193</c:v>
                </c:pt>
                <c:pt idx="1">
                  <c:v>193</c:v>
                </c:pt>
                <c:pt idx="2">
                  <c:v>188</c:v>
                </c:pt>
                <c:pt idx="3">
                  <c:v>185</c:v>
                </c:pt>
                <c:pt idx="4">
                  <c:v>177</c:v>
                </c:pt>
                <c:pt idx="5">
                  <c:v>199</c:v>
                </c:pt>
                <c:pt idx="6">
                  <c:v>190</c:v>
                </c:pt>
                <c:pt idx="7">
                  <c:v>179</c:v>
                </c:pt>
                <c:pt idx="8">
                  <c:v>182</c:v>
                </c:pt>
                <c:pt idx="9">
                  <c:v>168</c:v>
                </c:pt>
                <c:pt idx="10">
                  <c:v>152</c:v>
                </c:pt>
                <c:pt idx="11">
                  <c:v>152</c:v>
                </c:pt>
              </c:numCache>
            </c:numRef>
          </c:val>
        </c:ser>
        <c:ser>
          <c:idx val="6"/>
          <c:order val="6"/>
          <c:tx>
            <c:strRef>
              <c:f>'南国ビーチ(耐性HP換算タイプ)'!$AA$25</c:f>
              <c:strCache>
                <c:ptCount val="1"/>
                <c:pt idx="0">
                  <c:v>N-MIN Line</c:v>
                </c:pt>
              </c:strCache>
            </c:strRef>
          </c:tx>
          <c:spPr>
            <a:ln w="25400">
              <a:solidFill>
                <a:srgbClr val="00B0F0"/>
              </a:solidFill>
            </a:ln>
          </c:spPr>
          <c:marker>
            <c:symbol val="none"/>
          </c:marker>
          <c:dLbls>
            <c:dLbl>
              <c:idx val="11"/>
              <c:layout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rgbClr val="00B0F0"/>
                      </a:solidFill>
                    </a:defRPr>
                  </a:pPr>
                  <a:endParaRPr lang="ja-JP"/>
                </a:p>
              </c:txPr>
              <c:showSerName val="1"/>
            </c:dLbl>
            <c:delete val="1"/>
            <c:txPr>
              <a:bodyPr/>
              <a:lstStyle/>
              <a:p>
                <a:pPr>
                  <a:defRPr>
                    <a:solidFill>
                      <a:srgbClr val="00B0F0"/>
                    </a:solidFill>
                  </a:defRPr>
                </a:pPr>
                <a:endParaRPr lang="ja-JP"/>
              </a:p>
            </c:txPr>
          </c:dLbls>
          <c:cat>
            <c:multiLvlStrRef>
              <c:f>'南国ビーチ(耐性HP換算タイプ)'!$B$26:$D$37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'南国ビーチ(耐性HP換算タイプ)'!$AA$26:$AA$37</c:f>
              <c:numCache>
                <c:formatCode>General</c:formatCode>
                <c:ptCount val="12"/>
                <c:pt idx="0">
                  <c:v>156</c:v>
                </c:pt>
                <c:pt idx="1">
                  <c:v>156</c:v>
                </c:pt>
                <c:pt idx="2">
                  <c:v>152</c:v>
                </c:pt>
                <c:pt idx="3">
                  <c:v>149</c:v>
                </c:pt>
                <c:pt idx="4">
                  <c:v>143</c:v>
                </c:pt>
                <c:pt idx="5">
                  <c:v>160</c:v>
                </c:pt>
                <c:pt idx="6">
                  <c:v>154</c:v>
                </c:pt>
                <c:pt idx="7">
                  <c:v>145</c:v>
                </c:pt>
                <c:pt idx="8">
                  <c:v>147</c:v>
                </c:pt>
                <c:pt idx="9">
                  <c:v>136</c:v>
                </c:pt>
                <c:pt idx="10">
                  <c:v>122</c:v>
                </c:pt>
                <c:pt idx="11">
                  <c:v>122</c:v>
                </c:pt>
              </c:numCache>
            </c:numRef>
          </c:val>
        </c:ser>
        <c:ser>
          <c:idx val="12"/>
          <c:order val="12"/>
          <c:tx>
            <c:strRef>
              <c:f>'南国ビーチ(耐性HP換算タイプ)'!$AG$25</c:f>
              <c:strCache>
                <c:ptCount val="1"/>
                <c:pt idx="0">
                  <c:v>軸合わせ用(主)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cat>
            <c:multiLvlStrRef>
              <c:f>'南国ビーチ(耐性HP換算タイプ)'!$B$26:$D$37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'南国ビーチ(耐性HP換算タイプ)'!$AG$26:$AG$37</c:f>
              <c:numCache>
                <c:formatCode>General</c:formatCode>
                <c:ptCount val="12"/>
                <c:pt idx="1">
                  <c:v>446</c:v>
                </c:pt>
                <c:pt idx="2">
                  <c:v>446</c:v>
                </c:pt>
                <c:pt idx="3">
                  <c:v>446</c:v>
                </c:pt>
                <c:pt idx="4">
                  <c:v>446</c:v>
                </c:pt>
                <c:pt idx="5">
                  <c:v>446</c:v>
                </c:pt>
                <c:pt idx="6">
                  <c:v>446</c:v>
                </c:pt>
                <c:pt idx="7">
                  <c:v>446</c:v>
                </c:pt>
                <c:pt idx="8">
                  <c:v>446</c:v>
                </c:pt>
                <c:pt idx="9">
                  <c:v>616</c:v>
                </c:pt>
                <c:pt idx="10">
                  <c:v>612</c:v>
                </c:pt>
              </c:numCache>
            </c:numRef>
          </c:val>
        </c:ser>
        <c:marker val="1"/>
        <c:axId val="91820032"/>
        <c:axId val="91821568"/>
      </c:lineChart>
      <c:lineChart>
        <c:grouping val="standard"/>
        <c:ser>
          <c:idx val="13"/>
          <c:order val="13"/>
          <c:tx>
            <c:strRef>
              <c:f>'南国ビーチ(耐性HP換算タイプ)'!$AH$25</c:f>
              <c:strCache>
                <c:ptCount val="1"/>
                <c:pt idx="0">
                  <c:v>軸合わせ用(2)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'南国ビーチ(耐性HP換算タイプ)'!$B$26:$D$37</c:f>
              <c:multiLvlStrCache>
                <c:ptCount val="11"/>
                <c:lvl>
                  <c:pt idx="1">
                    <c:v>ピクシー</c:v>
                  </c:pt>
                  <c:pt idx="2">
                    <c:v>ジャックフロスト</c:v>
                  </c:pt>
                  <c:pt idx="3">
                    <c:v>ハイピクシー</c:v>
                  </c:pt>
                  <c:pt idx="4">
                    <c:v>ジャックランタン</c:v>
                  </c:pt>
                  <c:pt idx="5">
                    <c:v>ガンダルヴァ</c:v>
                  </c:pt>
                  <c:pt idx="6">
                    <c:v>ケルピー</c:v>
                  </c:pt>
                  <c:pt idx="7">
                    <c:v>エルフ</c:v>
                  </c:pt>
                  <c:pt idx="8">
                    <c:v>トロール</c:v>
                  </c:pt>
                  <c:pt idx="9">
                    <c:v>オベロン</c:v>
                  </c:pt>
                  <c:pt idx="10">
                    <c:v>ティターニア</c:v>
                  </c:pt>
                </c:lvl>
                <c:lvl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</c:lvl>
                <c:lvl>
                  <c:pt idx="0">
                    <c:v>妖精</c:v>
                  </c:pt>
                </c:lvl>
              </c:multiLvlStrCache>
            </c:multiLvlStrRef>
          </c:cat>
          <c:val>
            <c:numRef>
              <c:f>'南国ビーチ(耐性HP換算タイプ)'!$AH$26:$AH$37</c:f>
              <c:numCache>
                <c:formatCode>General</c:formatCode>
                <c:ptCount val="12"/>
                <c:pt idx="1">
                  <c:v>446</c:v>
                </c:pt>
                <c:pt idx="2">
                  <c:v>446</c:v>
                </c:pt>
                <c:pt idx="3">
                  <c:v>446</c:v>
                </c:pt>
                <c:pt idx="4">
                  <c:v>446</c:v>
                </c:pt>
                <c:pt idx="5">
                  <c:v>446</c:v>
                </c:pt>
                <c:pt idx="6">
                  <c:v>446</c:v>
                </c:pt>
                <c:pt idx="7">
                  <c:v>446</c:v>
                </c:pt>
                <c:pt idx="8">
                  <c:v>446</c:v>
                </c:pt>
                <c:pt idx="9">
                  <c:v>616</c:v>
                </c:pt>
                <c:pt idx="10">
                  <c:v>612</c:v>
                </c:pt>
              </c:numCache>
            </c:numRef>
          </c:val>
        </c:ser>
        <c:marker val="1"/>
        <c:axId val="91828992"/>
        <c:axId val="91823104"/>
      </c:lineChart>
      <c:catAx>
        <c:axId val="91820032"/>
        <c:scaling>
          <c:orientation val="minMax"/>
        </c:scaling>
        <c:axPos val="b"/>
        <c:tickLblPos val="nextTo"/>
        <c:spPr>
          <a:ln w="9525">
            <a:prstDash val="solid"/>
          </a:ln>
        </c:spPr>
        <c:txPr>
          <a:bodyPr rot="0" vert="eaVert"/>
          <a:lstStyle/>
          <a:p>
            <a:pPr>
              <a:defRPr sz="900"/>
            </a:pPr>
            <a:endParaRPr lang="ja-JP"/>
          </a:p>
        </c:txPr>
        <c:crossAx val="91821568"/>
        <c:crosses val="autoZero"/>
        <c:auto val="1"/>
        <c:lblAlgn val="ctr"/>
        <c:lblOffset val="0"/>
      </c:catAx>
      <c:valAx>
        <c:axId val="91821568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numFmt formatCode="General" sourceLinked="1"/>
        <c:tickLblPos val="nextTo"/>
        <c:crossAx val="91820032"/>
        <c:crosses val="autoZero"/>
        <c:crossBetween val="between"/>
      </c:valAx>
      <c:valAx>
        <c:axId val="91823104"/>
        <c:scaling>
          <c:orientation val="minMax"/>
        </c:scaling>
        <c:axPos val="r"/>
        <c:numFmt formatCode="General" sourceLinked="1"/>
        <c:tickLblPos val="nextTo"/>
        <c:crossAx val="91828992"/>
        <c:crosses val="max"/>
        <c:crossBetween val="between"/>
      </c:valAx>
      <c:catAx>
        <c:axId val="91828992"/>
        <c:scaling>
          <c:orientation val="minMax"/>
        </c:scaling>
        <c:delete val="1"/>
        <c:axPos val="b"/>
        <c:tickLblPos val="none"/>
        <c:crossAx val="91823104"/>
        <c:crosses val="autoZero"/>
        <c:auto val="1"/>
        <c:lblAlgn val="ctr"/>
        <c:lblOffset val="100"/>
      </c:catAx>
    </c:plotArea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CheckBox" fmlaLink="$AC$3" lockText="1" noThreeD="1"/>
</file>

<file path=xl/ctrlProps/ctrlProp19.xml><?xml version="1.0" encoding="utf-8"?>
<formControlPr xmlns="http://schemas.microsoft.com/office/spreadsheetml/2009/9/main" objectType="CheckBox" fmlaLink="$AC$4" lockText="1" noThreeD="1"/>
</file>

<file path=xl/ctrlProps/ctrlProp2.xml><?xml version="1.0" encoding="utf-8"?>
<formControlPr xmlns="http://schemas.microsoft.com/office/spreadsheetml/2009/9/main" objectType="Radio" checked="Checked" firstButton="1" fmlaLink="$BG$2" lockText="1" noThreeD="1"/>
</file>

<file path=xl/ctrlProps/ctrlProp20.xml><?xml version="1.0" encoding="utf-8"?>
<formControlPr xmlns="http://schemas.microsoft.com/office/spreadsheetml/2009/9/main" objectType="CheckBox" fmlaLink="$AC$5" lockText="1" noThreeD="1"/>
</file>

<file path=xl/ctrlProps/ctrlProp21.xml><?xml version="1.0" encoding="utf-8"?>
<formControlPr xmlns="http://schemas.microsoft.com/office/spreadsheetml/2009/9/main" objectType="CheckBox" fmlaLink="$AC$6" lockText="1" noThreeD="1"/>
</file>

<file path=xl/ctrlProps/ctrlProp22.xml><?xml version="1.0" encoding="utf-8"?>
<formControlPr xmlns="http://schemas.microsoft.com/office/spreadsheetml/2009/9/main" objectType="CheckBox" fmlaLink="$AC$7" lockText="1" noThreeD="1"/>
</file>

<file path=xl/ctrlProps/ctrlProp23.xml><?xml version="1.0" encoding="utf-8"?>
<formControlPr xmlns="http://schemas.microsoft.com/office/spreadsheetml/2009/9/main" objectType="CheckBox" fmlaLink="$AC$8" lockText="1" noThreeD="1"/>
</file>

<file path=xl/ctrlProps/ctrlProp24.xml><?xml version="1.0" encoding="utf-8"?>
<formControlPr xmlns="http://schemas.microsoft.com/office/spreadsheetml/2009/9/main" objectType="CheckBox" fmlaLink="$AC$9" lockText="1" noThreeD="1"/>
</file>

<file path=xl/ctrlProps/ctrlProp25.xml><?xml version="1.0" encoding="utf-8"?>
<formControlPr xmlns="http://schemas.microsoft.com/office/spreadsheetml/2009/9/main" objectType="CheckBox" checked="Checked" fmlaLink="$AC$10" lockText="1" noThreeD="1"/>
</file>

<file path=xl/ctrlProps/ctrlProp26.xml><?xml version="1.0" encoding="utf-8"?>
<formControlPr xmlns="http://schemas.microsoft.com/office/spreadsheetml/2009/9/main" objectType="CheckBox" checked="Checked" fmlaLink="$AC$11" lockText="1" noThreeD="1"/>
</file>

<file path=xl/ctrlProps/ctrlProp27.xml><?xml version="1.0" encoding="utf-8"?>
<formControlPr xmlns="http://schemas.microsoft.com/office/spreadsheetml/2009/9/main" objectType="CheckBox" checked="Checked" fmlaLink="$AC$12" lockText="1" noThreeD="1"/>
</file>

<file path=xl/ctrlProps/ctrlProp28.xml><?xml version="1.0" encoding="utf-8"?>
<formControlPr xmlns="http://schemas.microsoft.com/office/spreadsheetml/2009/9/main" objectType="CheckBox" fmlaLink="$AC$13" lockText="1" noThreeD="1"/>
</file>

<file path=xl/ctrlProps/ctrlProp29.xml><?xml version="1.0" encoding="utf-8"?>
<formControlPr xmlns="http://schemas.microsoft.com/office/spreadsheetml/2009/9/main" objectType="CheckBox" fmlaLink="$AC$14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fmlaLink="$AC$15" lockText="1" noThreeD="1"/>
</file>

<file path=xl/ctrlProps/ctrlProp31.xml><?xml version="1.0" encoding="utf-8"?>
<formControlPr xmlns="http://schemas.microsoft.com/office/spreadsheetml/2009/9/main" objectType="CheckBox" checked="Checked" fmlaLink="$AC$16" lockText="1" noThreeD="1"/>
</file>

<file path=xl/ctrlProps/ctrlProp32.xml><?xml version="1.0" encoding="utf-8"?>
<formControlPr xmlns="http://schemas.microsoft.com/office/spreadsheetml/2009/9/main" objectType="CheckBox" checked="Checked" fmlaLink="$AC$17" lockText="1" noThreeD="1"/>
</file>

<file path=xl/ctrlProps/ctrlProp33.xml><?xml version="1.0" encoding="utf-8"?>
<formControlPr xmlns="http://schemas.microsoft.com/office/spreadsheetml/2009/9/main" objectType="CheckBox" checked="Checked" fmlaLink="$AC$18" lockText="1" noThreeD="1"/>
</file>

<file path=xl/ctrlProps/ctrlProp34.xml><?xml version="1.0" encoding="utf-8"?>
<formControlPr xmlns="http://schemas.microsoft.com/office/spreadsheetml/2009/9/main" objectType="CheckBox" fmlaLink="$AC$19" lockText="1" noThreeD="1"/>
</file>

<file path=xl/ctrlProps/ctrlProp35.xml><?xml version="1.0" encoding="utf-8"?>
<formControlPr xmlns="http://schemas.microsoft.com/office/spreadsheetml/2009/9/main" objectType="CheckBox" fmlaLink="$AC$20" lockText="1" noThreeD="1"/>
</file>

<file path=xl/ctrlProps/ctrlProp36.xml><?xml version="1.0" encoding="utf-8"?>
<formControlPr xmlns="http://schemas.microsoft.com/office/spreadsheetml/2009/9/main" objectType="CheckBox" fmlaLink="$AC$21" lockText="1" noThreeD="1"/>
</file>

<file path=xl/ctrlProps/ctrlProp37.xml><?xml version="1.0" encoding="utf-8"?>
<formControlPr xmlns="http://schemas.microsoft.com/office/spreadsheetml/2009/9/main" objectType="CheckBox" fmlaLink="$AC$22" lockText="1" noThreeD="1"/>
</file>

<file path=xl/ctrlProps/ctrlProp38.xml><?xml version="1.0" encoding="utf-8"?>
<formControlPr xmlns="http://schemas.microsoft.com/office/spreadsheetml/2009/9/main" objectType="CheckBox" checked="Checked" fmlaLink="$AC$23" lockText="1" noThreeD="1"/>
</file>

<file path=xl/ctrlProps/ctrlProp39.xml><?xml version="1.0" encoding="utf-8"?>
<formControlPr xmlns="http://schemas.microsoft.com/office/spreadsheetml/2009/9/main" objectType="CheckBox" checked="Checked" fmlaLink="$AC$24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CheckBox" fmlaLink="$AC$25" lockText="1" noThreeD="1"/>
</file>

<file path=xl/ctrlProps/ctrlProp41.xml><?xml version="1.0" encoding="utf-8"?>
<formControlPr xmlns="http://schemas.microsoft.com/office/spreadsheetml/2009/9/main" objectType="CheckBox" fmlaLink="$AC$26" lockText="1" noThreeD="1"/>
</file>

<file path=xl/ctrlProps/ctrlProp42.xml><?xml version="1.0" encoding="utf-8"?>
<formControlPr xmlns="http://schemas.microsoft.com/office/spreadsheetml/2009/9/main" objectType="CheckBox" fmlaLink="$AC$27" lockText="1" noThreeD="1"/>
</file>

<file path=xl/ctrlProps/ctrlProp43.xml><?xml version="1.0" encoding="utf-8"?>
<formControlPr xmlns="http://schemas.microsoft.com/office/spreadsheetml/2009/9/main" objectType="CheckBox" fmlaLink="$AC$28" lockText="1" noThreeD="1"/>
</file>

<file path=xl/ctrlProps/ctrlProp44.xml><?xml version="1.0" encoding="utf-8"?>
<formControlPr xmlns="http://schemas.microsoft.com/office/spreadsheetml/2009/9/main" objectType="CheckBox" fmlaLink="$AC$29" lockText="1" noThreeD="1"/>
</file>

<file path=xl/ctrlProps/ctrlProp45.xml><?xml version="1.0" encoding="utf-8"?>
<formControlPr xmlns="http://schemas.microsoft.com/office/spreadsheetml/2009/9/main" objectType="CheckBox" fmlaLink="$AC$30" lockText="1" noThreeD="1"/>
</file>

<file path=xl/ctrlProps/ctrlProp46.xml><?xml version="1.0" encoding="utf-8"?>
<formControlPr xmlns="http://schemas.microsoft.com/office/spreadsheetml/2009/9/main" objectType="CheckBox" fmlaLink="$AC$31" lockText="1" noThreeD="1"/>
</file>

<file path=xl/ctrlProps/ctrlProp47.xml><?xml version="1.0" encoding="utf-8"?>
<formControlPr xmlns="http://schemas.microsoft.com/office/spreadsheetml/2009/9/main" objectType="CheckBox" fmlaLink="$AC$32" lockText="1" noThreeD="1"/>
</file>

<file path=xl/ctrlProps/ctrlProp48.xml><?xml version="1.0" encoding="utf-8"?>
<formControlPr xmlns="http://schemas.microsoft.com/office/spreadsheetml/2009/9/main" objectType="CheckBox" fmlaLink="$AC$33" lockText="1" noThreeD="1"/>
</file>

<file path=xl/ctrlProps/ctrlProp49.xml><?xml version="1.0" encoding="utf-8"?>
<formControlPr xmlns="http://schemas.microsoft.com/office/spreadsheetml/2009/9/main" objectType="CheckBox" fmlaLink="$AC$34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CheckBox" fmlaLink="$AC$35" lockText="1" noThreeD="1"/>
</file>

<file path=xl/ctrlProps/ctrlProp51.xml><?xml version="1.0" encoding="utf-8"?>
<formControlPr xmlns="http://schemas.microsoft.com/office/spreadsheetml/2009/9/main" objectType="CheckBox" fmlaLink="$AC$36" lockText="1" noThreeD="1"/>
</file>

<file path=xl/ctrlProps/ctrlProp52.xml><?xml version="1.0" encoding="utf-8"?>
<formControlPr xmlns="http://schemas.microsoft.com/office/spreadsheetml/2009/9/main" objectType="CheckBox" fmlaLink="$AC$37" lockText="1" noThreeD="1"/>
</file>

<file path=xl/ctrlProps/ctrlProp53.xml><?xml version="1.0" encoding="utf-8"?>
<formControlPr xmlns="http://schemas.microsoft.com/office/spreadsheetml/2009/9/main" objectType="CheckBox" fmlaLink="$AC$38" lockText="1" noThreeD="1"/>
</file>

<file path=xl/ctrlProps/ctrlProp54.xml><?xml version="1.0" encoding="utf-8"?>
<formControlPr xmlns="http://schemas.microsoft.com/office/spreadsheetml/2009/9/main" objectType="CheckBox" fmlaLink="$AC$39" lockText="1" noThreeD="1"/>
</file>

<file path=xl/ctrlProps/ctrlProp55.xml><?xml version="1.0" encoding="utf-8"?>
<formControlPr xmlns="http://schemas.microsoft.com/office/spreadsheetml/2009/9/main" objectType="CheckBox" fmlaLink="$AC$40" lockText="1" noThreeD="1"/>
</file>

<file path=xl/ctrlProps/ctrlProp56.xml><?xml version="1.0" encoding="utf-8"?>
<formControlPr xmlns="http://schemas.microsoft.com/office/spreadsheetml/2009/9/main" objectType="CheckBox" fmlaLink="$AC$41" lockText="1" noThreeD="1"/>
</file>

<file path=xl/ctrlProps/ctrlProp57.xml><?xml version="1.0" encoding="utf-8"?>
<formControlPr xmlns="http://schemas.microsoft.com/office/spreadsheetml/2009/9/main" objectType="CheckBox" fmlaLink="$AC$42" lockText="1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checked="Checked" firstButton="1" fmlaLink="$BE$2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38100</xdr:colOff>
      <xdr:row>17</xdr:row>
      <xdr:rowOff>19050</xdr:rowOff>
    </xdr:from>
    <xdr:to>
      <xdr:col>36</xdr:col>
      <xdr:colOff>47625</xdr:colOff>
      <xdr:row>47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255240</xdr:colOff>
      <xdr:row>3</xdr:row>
      <xdr:rowOff>113083</xdr:rowOff>
    </xdr:from>
    <xdr:to>
      <xdr:col>28</xdr:col>
      <xdr:colOff>362079</xdr:colOff>
      <xdr:row>5</xdr:row>
      <xdr:rowOff>11645</xdr:rowOff>
    </xdr:to>
    <xdr:grpSp>
      <xdr:nvGrpSpPr>
        <xdr:cNvPr id="20" name="グループ化 19"/>
        <xdr:cNvGrpSpPr/>
      </xdr:nvGrpSpPr>
      <xdr:grpSpPr>
        <a:xfrm>
          <a:off x="7799040" y="541708"/>
          <a:ext cx="106839" cy="203362"/>
          <a:chOff x="16230059" y="2859913"/>
          <a:chExt cx="108000" cy="206672"/>
        </a:xfrm>
      </xdr:grpSpPr>
      <xdr:cxnSp macro="">
        <xdr:nvCxnSpPr>
          <xdr:cNvPr id="21" name="直線矢印コネクタ 20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正方形/長方形 21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24</xdr:col>
      <xdr:colOff>427047</xdr:colOff>
      <xdr:row>8</xdr:row>
      <xdr:rowOff>75071</xdr:rowOff>
    </xdr:from>
    <xdr:to>
      <xdr:col>25</xdr:col>
      <xdr:colOff>185708</xdr:colOff>
      <xdr:row>9</xdr:row>
      <xdr:rowOff>27360</xdr:rowOff>
    </xdr:to>
    <xdr:grpSp>
      <xdr:nvGrpSpPr>
        <xdr:cNvPr id="23" name="グループ化 22"/>
        <xdr:cNvGrpSpPr/>
      </xdr:nvGrpSpPr>
      <xdr:grpSpPr>
        <a:xfrm>
          <a:off x="6084897" y="1265696"/>
          <a:ext cx="206336" cy="104689"/>
          <a:chOff x="16074444" y="3171421"/>
          <a:chExt cx="206336" cy="105619"/>
        </a:xfrm>
      </xdr:grpSpPr>
      <xdr:cxnSp macro="">
        <xdr:nvCxnSpPr>
          <xdr:cNvPr id="24" name="直線矢印コネクタ 23"/>
          <xdr:cNvCxnSpPr/>
        </xdr:nvCxnSpPr>
        <xdr:spPr>
          <a:xfrm>
            <a:off x="16127451" y="3219915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正方形/長方形 24"/>
          <xdr:cNvSpPr/>
        </xdr:nvSpPr>
        <xdr:spPr>
          <a:xfrm>
            <a:off x="16074444" y="3171421"/>
            <a:ext cx="108000" cy="10561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26</xdr:col>
      <xdr:colOff>254602</xdr:colOff>
      <xdr:row>6</xdr:row>
      <xdr:rowOff>19982</xdr:rowOff>
    </xdr:from>
    <xdr:to>
      <xdr:col>26</xdr:col>
      <xdr:colOff>458361</xdr:colOff>
      <xdr:row>6</xdr:row>
      <xdr:rowOff>127982</xdr:rowOff>
    </xdr:to>
    <xdr:grpSp>
      <xdr:nvGrpSpPr>
        <xdr:cNvPr id="26" name="グループ化 25"/>
        <xdr:cNvGrpSpPr/>
      </xdr:nvGrpSpPr>
      <xdr:grpSpPr>
        <a:xfrm>
          <a:off x="6807802" y="905807"/>
          <a:ext cx="203759" cy="108000"/>
          <a:chOff x="16077021" y="3323239"/>
          <a:chExt cx="203759" cy="106548"/>
        </a:xfrm>
      </xdr:grpSpPr>
      <xdr:cxnSp macro="">
        <xdr:nvCxnSpPr>
          <xdr:cNvPr id="27" name="直線矢印コネクタ 26"/>
          <xdr:cNvCxnSpPr/>
        </xdr:nvCxnSpPr>
        <xdr:spPr>
          <a:xfrm>
            <a:off x="16127451" y="3373244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正方形/長方形 27"/>
          <xdr:cNvSpPr/>
        </xdr:nvSpPr>
        <xdr:spPr>
          <a:xfrm>
            <a:off x="16077021" y="3323239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D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29</xdr:col>
      <xdr:colOff>193501</xdr:colOff>
      <xdr:row>2</xdr:row>
      <xdr:rowOff>123101</xdr:rowOff>
    </xdr:from>
    <xdr:to>
      <xdr:col>29</xdr:col>
      <xdr:colOff>382160</xdr:colOff>
      <xdr:row>3</xdr:row>
      <xdr:rowOff>135208</xdr:rowOff>
    </xdr:to>
    <xdr:grpSp>
      <xdr:nvGrpSpPr>
        <xdr:cNvPr id="29" name="グループ化 28"/>
        <xdr:cNvGrpSpPr/>
      </xdr:nvGrpSpPr>
      <xdr:grpSpPr>
        <a:xfrm>
          <a:off x="8232601" y="399326"/>
          <a:ext cx="188659" cy="164507"/>
          <a:chOff x="16092120" y="3783953"/>
          <a:chExt cx="188659" cy="165437"/>
        </a:xfrm>
      </xdr:grpSpPr>
      <xdr:sp macro="" textlink="">
        <xdr:nvSpPr>
          <xdr:cNvPr id="30" name="フリーフォーム 29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31" name="正方形/長方形 30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238125</xdr:colOff>
      <xdr:row>2</xdr:row>
      <xdr:rowOff>120864</xdr:rowOff>
    </xdr:from>
    <xdr:to>
      <xdr:col>27</xdr:col>
      <xdr:colOff>415717</xdr:colOff>
      <xdr:row>3</xdr:row>
      <xdr:rowOff>135209</xdr:rowOff>
    </xdr:to>
    <xdr:grpSp>
      <xdr:nvGrpSpPr>
        <xdr:cNvPr id="32" name="グループ化 31"/>
        <xdr:cNvGrpSpPr/>
      </xdr:nvGrpSpPr>
      <xdr:grpSpPr>
        <a:xfrm>
          <a:off x="7286625" y="397089"/>
          <a:ext cx="177592" cy="166745"/>
          <a:chOff x="16996317" y="3628387"/>
          <a:chExt cx="177592" cy="167674"/>
        </a:xfrm>
      </xdr:grpSpPr>
      <xdr:sp macro="" textlink="">
        <xdr:nvSpPr>
          <xdr:cNvPr id="33" name="フリーフォーム 32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34" name="正方形/長方形 33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32</xdr:col>
      <xdr:colOff>157511</xdr:colOff>
      <xdr:row>10</xdr:row>
      <xdr:rowOff>19978</xdr:rowOff>
    </xdr:from>
    <xdr:to>
      <xdr:col>32</xdr:col>
      <xdr:colOff>314347</xdr:colOff>
      <xdr:row>11</xdr:row>
      <xdr:rowOff>19051</xdr:rowOff>
    </xdr:to>
    <xdr:sp macro="" textlink="">
      <xdr:nvSpPr>
        <xdr:cNvPr id="35" name="フリーフォーム 34"/>
        <xdr:cNvSpPr/>
      </xdr:nvSpPr>
      <xdr:spPr>
        <a:xfrm flipH="1">
          <a:off x="9682511" y="1515403"/>
          <a:ext cx="156836" cy="151473"/>
        </a:xfrm>
        <a:custGeom>
          <a:avLst/>
          <a:gdLst>
            <a:gd name="connsiteX0" fmla="*/ 0 w 809625"/>
            <a:gd name="connsiteY0" fmla="*/ 66675 h 247650"/>
            <a:gd name="connsiteX1" fmla="*/ 723900 w 809625"/>
            <a:gd name="connsiteY1" fmla="*/ 0 h 247650"/>
            <a:gd name="connsiteX2" fmla="*/ 809625 w 809625"/>
            <a:gd name="connsiteY2" fmla="*/ 247650 h 247650"/>
            <a:gd name="connsiteX0" fmla="*/ 0 w 828675"/>
            <a:gd name="connsiteY0" fmla="*/ 47625 h 247650"/>
            <a:gd name="connsiteX1" fmla="*/ 742950 w 828675"/>
            <a:gd name="connsiteY1" fmla="*/ 0 h 247650"/>
            <a:gd name="connsiteX2" fmla="*/ 828675 w 828675"/>
            <a:gd name="connsiteY2" fmla="*/ 247650 h 247650"/>
            <a:gd name="connsiteX0" fmla="*/ 0 w 828675"/>
            <a:gd name="connsiteY0" fmla="*/ 0 h 200025"/>
            <a:gd name="connsiteX1" fmla="*/ 714375 w 828675"/>
            <a:gd name="connsiteY1" fmla="*/ 0 h 200025"/>
            <a:gd name="connsiteX2" fmla="*/ 828675 w 828675"/>
            <a:gd name="connsiteY2" fmla="*/ 200025 h 200025"/>
            <a:gd name="connsiteX0" fmla="*/ 0 w 714375"/>
            <a:gd name="connsiteY0" fmla="*/ 0 h 152400"/>
            <a:gd name="connsiteX1" fmla="*/ 714375 w 714375"/>
            <a:gd name="connsiteY1" fmla="*/ 0 h 152400"/>
            <a:gd name="connsiteX2" fmla="*/ 714375 w 714375"/>
            <a:gd name="connsiteY2" fmla="*/ 152400 h 152400"/>
            <a:gd name="connsiteX0" fmla="*/ 0 w 913844"/>
            <a:gd name="connsiteY0" fmla="*/ 0 h 4618"/>
            <a:gd name="connsiteX1" fmla="*/ 714375 w 913844"/>
            <a:gd name="connsiteY1" fmla="*/ 0 h 4618"/>
            <a:gd name="connsiteX2" fmla="*/ 913844 w 913844"/>
            <a:gd name="connsiteY2" fmla="*/ 4618 h 4618"/>
            <a:gd name="connsiteX0" fmla="*/ 0 w 2183"/>
            <a:gd name="connsiteY0" fmla="*/ 0 h 340024"/>
            <a:gd name="connsiteX1" fmla="*/ 0 w 2183"/>
            <a:gd name="connsiteY1" fmla="*/ 330024 h 340024"/>
            <a:gd name="connsiteX2" fmla="*/ 2183 w 2183"/>
            <a:gd name="connsiteY2" fmla="*/ 340024 h 340024"/>
            <a:gd name="connsiteX0" fmla="*/ 0 w 9535"/>
            <a:gd name="connsiteY0" fmla="*/ 0 h 9706"/>
            <a:gd name="connsiteX1" fmla="*/ 0 w 9535"/>
            <a:gd name="connsiteY1" fmla="*/ 9706 h 9706"/>
            <a:gd name="connsiteX2" fmla="*/ 9535 w 9535"/>
            <a:gd name="connsiteY2" fmla="*/ 9412 h 9706"/>
            <a:gd name="connsiteX0" fmla="*/ 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9697 h 10000"/>
            <a:gd name="connsiteX0" fmla="*/ 0 w 31217"/>
            <a:gd name="connsiteY0" fmla="*/ 0 h 10000"/>
            <a:gd name="connsiteX1" fmla="*/ 0 w 31217"/>
            <a:gd name="connsiteY1" fmla="*/ 10000 h 10000"/>
            <a:gd name="connsiteX2" fmla="*/ 31217 w 31217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217" h="10000">
              <a:moveTo>
                <a:pt x="0" y="0"/>
              </a:moveTo>
              <a:lnTo>
                <a:pt x="0" y="10000"/>
              </a:lnTo>
              <a:lnTo>
                <a:pt x="31217" y="10000"/>
              </a:lnTo>
            </a:path>
          </a:pathLst>
        </a:custGeom>
        <a:ln>
          <a:solidFill>
            <a:schemeClr val="bg1">
              <a:lumMod val="65000"/>
            </a:schemeClr>
          </a:solidFill>
          <a:headEnd type="none" w="med" len="med"/>
          <a:tailEnd type="arrow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148111</xdr:colOff>
      <xdr:row>9</xdr:row>
      <xdr:rowOff>122084</xdr:rowOff>
    </xdr:from>
    <xdr:to>
      <xdr:col>24</xdr:col>
      <xdr:colOff>361950</xdr:colOff>
      <xdr:row>10</xdr:row>
      <xdr:rowOff>126207</xdr:rowOff>
    </xdr:to>
    <xdr:grpSp>
      <xdr:nvGrpSpPr>
        <xdr:cNvPr id="36" name="グループ化 35"/>
        <xdr:cNvGrpSpPr/>
      </xdr:nvGrpSpPr>
      <xdr:grpSpPr>
        <a:xfrm>
          <a:off x="5805961" y="1465109"/>
          <a:ext cx="213839" cy="156523"/>
          <a:chOff x="16781316" y="3061533"/>
          <a:chExt cx="215001" cy="158382"/>
        </a:xfrm>
      </xdr:grpSpPr>
      <xdr:sp macro="" textlink="">
        <xdr:nvSpPr>
          <xdr:cNvPr id="37" name="フリーフォーム 36"/>
          <xdr:cNvSpPr/>
        </xdr:nvSpPr>
        <xdr:spPr>
          <a:xfrm>
            <a:off x="16838319" y="3066584"/>
            <a:ext cx="157998" cy="153331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  <a:gd name="connsiteX0" fmla="*/ 0 w 913844"/>
              <a:gd name="connsiteY0" fmla="*/ 0 h 4618"/>
              <a:gd name="connsiteX1" fmla="*/ 714375 w 913844"/>
              <a:gd name="connsiteY1" fmla="*/ 0 h 4618"/>
              <a:gd name="connsiteX2" fmla="*/ 913844 w 913844"/>
              <a:gd name="connsiteY2" fmla="*/ 4618 h 4618"/>
              <a:gd name="connsiteX0" fmla="*/ 0 w 2183"/>
              <a:gd name="connsiteY0" fmla="*/ 0 h 340024"/>
              <a:gd name="connsiteX1" fmla="*/ 0 w 2183"/>
              <a:gd name="connsiteY1" fmla="*/ 330024 h 340024"/>
              <a:gd name="connsiteX2" fmla="*/ 2183 w 2183"/>
              <a:gd name="connsiteY2" fmla="*/ 340024 h 340024"/>
              <a:gd name="connsiteX0" fmla="*/ 0 w 9535"/>
              <a:gd name="connsiteY0" fmla="*/ 0 h 9706"/>
              <a:gd name="connsiteX1" fmla="*/ 0 w 9535"/>
              <a:gd name="connsiteY1" fmla="*/ 9706 h 9706"/>
              <a:gd name="connsiteX2" fmla="*/ 9535 w 9535"/>
              <a:gd name="connsiteY2" fmla="*/ 9412 h 9706"/>
              <a:gd name="connsiteX0" fmla="*/ 0 w 10000"/>
              <a:gd name="connsiteY0" fmla="*/ 0 h 10000"/>
              <a:gd name="connsiteX1" fmla="*/ 0 w 10000"/>
              <a:gd name="connsiteY1" fmla="*/ 10000 h 10000"/>
              <a:gd name="connsiteX2" fmla="*/ 10000 w 10000"/>
              <a:gd name="connsiteY2" fmla="*/ 9697 h 10000"/>
              <a:gd name="connsiteX0" fmla="*/ 0 w 31217"/>
              <a:gd name="connsiteY0" fmla="*/ 0 h 10000"/>
              <a:gd name="connsiteX1" fmla="*/ 0 w 31217"/>
              <a:gd name="connsiteY1" fmla="*/ 10000 h 10000"/>
              <a:gd name="connsiteX2" fmla="*/ 31217 w 3121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217" h="10000">
                <a:moveTo>
                  <a:pt x="0" y="0"/>
                </a:moveTo>
                <a:lnTo>
                  <a:pt x="0" y="10000"/>
                </a:lnTo>
                <a:lnTo>
                  <a:pt x="31217" y="100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38" name="正方形/長方形 37"/>
          <xdr:cNvSpPr/>
        </xdr:nvSpPr>
        <xdr:spPr>
          <a:xfrm>
            <a:off x="16781316" y="3061533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28</xdr:col>
      <xdr:colOff>255240</xdr:colOff>
      <xdr:row>7</xdr:row>
      <xdr:rowOff>113084</xdr:rowOff>
    </xdr:from>
    <xdr:to>
      <xdr:col>28</xdr:col>
      <xdr:colOff>362079</xdr:colOff>
      <xdr:row>9</xdr:row>
      <xdr:rowOff>11646</xdr:rowOff>
    </xdr:to>
    <xdr:grpSp>
      <xdr:nvGrpSpPr>
        <xdr:cNvPr id="39" name="グループ化 38"/>
        <xdr:cNvGrpSpPr/>
      </xdr:nvGrpSpPr>
      <xdr:grpSpPr>
        <a:xfrm>
          <a:off x="7799040" y="1151309"/>
          <a:ext cx="106839" cy="203362"/>
          <a:chOff x="16230059" y="2859913"/>
          <a:chExt cx="108000" cy="206672"/>
        </a:xfrm>
      </xdr:grpSpPr>
      <xdr:cxnSp macro="">
        <xdr:nvCxnSpPr>
          <xdr:cNvPr id="40" name="直線矢印コネクタ 39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正方形/長方形 40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28</xdr:col>
      <xdr:colOff>261193</xdr:colOff>
      <xdr:row>11</xdr:row>
      <xdr:rowOff>113083</xdr:rowOff>
    </xdr:from>
    <xdr:to>
      <xdr:col>28</xdr:col>
      <xdr:colOff>368032</xdr:colOff>
      <xdr:row>13</xdr:row>
      <xdr:rowOff>11645</xdr:rowOff>
    </xdr:to>
    <xdr:grpSp>
      <xdr:nvGrpSpPr>
        <xdr:cNvPr id="42" name="グループ化 41"/>
        <xdr:cNvGrpSpPr/>
      </xdr:nvGrpSpPr>
      <xdr:grpSpPr>
        <a:xfrm>
          <a:off x="7804993" y="1760908"/>
          <a:ext cx="106839" cy="203362"/>
          <a:chOff x="16230059" y="2859913"/>
          <a:chExt cx="108000" cy="206672"/>
        </a:xfrm>
      </xdr:grpSpPr>
      <xdr:cxnSp macro="">
        <xdr:nvCxnSpPr>
          <xdr:cNvPr id="43" name="直線矢印コネクタ 42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" name="正方形/長方形 43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45690</xdr:colOff>
      <xdr:row>5</xdr:row>
      <xdr:rowOff>119035</xdr:rowOff>
    </xdr:from>
    <xdr:to>
      <xdr:col>27</xdr:col>
      <xdr:colOff>152529</xdr:colOff>
      <xdr:row>7</xdr:row>
      <xdr:rowOff>17597</xdr:rowOff>
    </xdr:to>
    <xdr:grpSp>
      <xdr:nvGrpSpPr>
        <xdr:cNvPr id="45" name="グループ化 44"/>
        <xdr:cNvGrpSpPr/>
      </xdr:nvGrpSpPr>
      <xdr:grpSpPr>
        <a:xfrm>
          <a:off x="7094190" y="852460"/>
          <a:ext cx="106839" cy="203362"/>
          <a:chOff x="16230059" y="2859913"/>
          <a:chExt cx="108000" cy="206672"/>
        </a:xfrm>
      </xdr:grpSpPr>
      <xdr:cxnSp macro="">
        <xdr:nvCxnSpPr>
          <xdr:cNvPr id="46" name="直線矢印コネクタ 45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" name="正方形/長方形 46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45690</xdr:colOff>
      <xdr:row>9</xdr:row>
      <xdr:rowOff>113083</xdr:rowOff>
    </xdr:from>
    <xdr:to>
      <xdr:col>27</xdr:col>
      <xdr:colOff>152529</xdr:colOff>
      <xdr:row>11</xdr:row>
      <xdr:rowOff>11645</xdr:rowOff>
    </xdr:to>
    <xdr:grpSp>
      <xdr:nvGrpSpPr>
        <xdr:cNvPr id="48" name="グループ化 47"/>
        <xdr:cNvGrpSpPr/>
      </xdr:nvGrpSpPr>
      <xdr:grpSpPr>
        <a:xfrm>
          <a:off x="7094190" y="1456108"/>
          <a:ext cx="106839" cy="203362"/>
          <a:chOff x="16230059" y="2859913"/>
          <a:chExt cx="108000" cy="206672"/>
        </a:xfrm>
      </xdr:grpSpPr>
      <xdr:cxnSp macro="">
        <xdr:nvCxnSpPr>
          <xdr:cNvPr id="49" name="直線矢印コネクタ 48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正方形/長方形 49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25</xdr:col>
      <xdr:colOff>274290</xdr:colOff>
      <xdr:row>7</xdr:row>
      <xdr:rowOff>119036</xdr:rowOff>
    </xdr:from>
    <xdr:to>
      <xdr:col>25</xdr:col>
      <xdr:colOff>381129</xdr:colOff>
      <xdr:row>9</xdr:row>
      <xdr:rowOff>17598</xdr:rowOff>
    </xdr:to>
    <xdr:grpSp>
      <xdr:nvGrpSpPr>
        <xdr:cNvPr id="51" name="グループ化 50"/>
        <xdr:cNvGrpSpPr/>
      </xdr:nvGrpSpPr>
      <xdr:grpSpPr>
        <a:xfrm>
          <a:off x="6379815" y="1157261"/>
          <a:ext cx="106839" cy="203362"/>
          <a:chOff x="16230059" y="2859913"/>
          <a:chExt cx="108000" cy="206672"/>
        </a:xfrm>
      </xdr:grpSpPr>
      <xdr:cxnSp macro="">
        <xdr:nvCxnSpPr>
          <xdr:cNvPr id="52" name="直線矢印コネクタ 51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" name="正方形/長方形 52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31</xdr:col>
      <xdr:colOff>198090</xdr:colOff>
      <xdr:row>7</xdr:row>
      <xdr:rowOff>113082</xdr:rowOff>
    </xdr:from>
    <xdr:to>
      <xdr:col>31</xdr:col>
      <xdr:colOff>304929</xdr:colOff>
      <xdr:row>9</xdr:row>
      <xdr:rowOff>11644</xdr:rowOff>
    </xdr:to>
    <xdr:grpSp>
      <xdr:nvGrpSpPr>
        <xdr:cNvPr id="54" name="グループ化 53"/>
        <xdr:cNvGrpSpPr/>
      </xdr:nvGrpSpPr>
      <xdr:grpSpPr>
        <a:xfrm>
          <a:off x="9227790" y="1151307"/>
          <a:ext cx="106839" cy="203362"/>
          <a:chOff x="16230059" y="2859913"/>
          <a:chExt cx="108000" cy="206672"/>
        </a:xfrm>
      </xdr:grpSpPr>
      <xdr:cxnSp macro="">
        <xdr:nvCxnSpPr>
          <xdr:cNvPr id="55" name="直線矢印コネクタ 54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" name="正方形/長方形 55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29</xdr:col>
      <xdr:colOff>474315</xdr:colOff>
      <xdr:row>5</xdr:row>
      <xdr:rowOff>113083</xdr:rowOff>
    </xdr:from>
    <xdr:to>
      <xdr:col>30</xdr:col>
      <xdr:colOff>85854</xdr:colOff>
      <xdr:row>7</xdr:row>
      <xdr:rowOff>11645</xdr:rowOff>
    </xdr:to>
    <xdr:grpSp>
      <xdr:nvGrpSpPr>
        <xdr:cNvPr id="57" name="グループ化 56"/>
        <xdr:cNvGrpSpPr/>
      </xdr:nvGrpSpPr>
      <xdr:grpSpPr>
        <a:xfrm>
          <a:off x="8513415" y="846508"/>
          <a:ext cx="106839" cy="203362"/>
          <a:chOff x="16230059" y="2859913"/>
          <a:chExt cx="108000" cy="206672"/>
        </a:xfrm>
      </xdr:grpSpPr>
      <xdr:cxnSp macro="">
        <xdr:nvCxnSpPr>
          <xdr:cNvPr id="58" name="直線矢印コネクタ 57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正方形/長方形 58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29</xdr:col>
      <xdr:colOff>474315</xdr:colOff>
      <xdr:row>9</xdr:row>
      <xdr:rowOff>119035</xdr:rowOff>
    </xdr:from>
    <xdr:to>
      <xdr:col>30</xdr:col>
      <xdr:colOff>85854</xdr:colOff>
      <xdr:row>11</xdr:row>
      <xdr:rowOff>17597</xdr:rowOff>
    </xdr:to>
    <xdr:grpSp>
      <xdr:nvGrpSpPr>
        <xdr:cNvPr id="60" name="グループ化 59"/>
        <xdr:cNvGrpSpPr/>
      </xdr:nvGrpSpPr>
      <xdr:grpSpPr>
        <a:xfrm>
          <a:off x="8513415" y="1462060"/>
          <a:ext cx="106839" cy="203362"/>
          <a:chOff x="16230059" y="2859913"/>
          <a:chExt cx="108000" cy="206672"/>
        </a:xfrm>
      </xdr:grpSpPr>
      <xdr:cxnSp macro="">
        <xdr:nvCxnSpPr>
          <xdr:cNvPr id="61" name="直線矢印コネクタ 60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2" name="正方形/長方形 61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25</xdr:col>
      <xdr:colOff>424336</xdr:colOff>
      <xdr:row>11</xdr:row>
      <xdr:rowOff>122084</xdr:rowOff>
    </xdr:from>
    <xdr:to>
      <xdr:col>26</xdr:col>
      <xdr:colOff>190500</xdr:colOff>
      <xdr:row>12</xdr:row>
      <xdr:rowOff>126208</xdr:rowOff>
    </xdr:to>
    <xdr:grpSp>
      <xdr:nvGrpSpPr>
        <xdr:cNvPr id="63" name="グループ化 62"/>
        <xdr:cNvGrpSpPr/>
      </xdr:nvGrpSpPr>
      <xdr:grpSpPr>
        <a:xfrm>
          <a:off x="6529861" y="1769909"/>
          <a:ext cx="213839" cy="156524"/>
          <a:chOff x="16781316" y="3061533"/>
          <a:chExt cx="215001" cy="158382"/>
        </a:xfrm>
      </xdr:grpSpPr>
      <xdr:sp macro="" textlink="">
        <xdr:nvSpPr>
          <xdr:cNvPr id="64" name="フリーフォーム 63"/>
          <xdr:cNvSpPr/>
        </xdr:nvSpPr>
        <xdr:spPr>
          <a:xfrm>
            <a:off x="16838319" y="3066584"/>
            <a:ext cx="157998" cy="153331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  <a:gd name="connsiteX0" fmla="*/ 0 w 913844"/>
              <a:gd name="connsiteY0" fmla="*/ 0 h 4618"/>
              <a:gd name="connsiteX1" fmla="*/ 714375 w 913844"/>
              <a:gd name="connsiteY1" fmla="*/ 0 h 4618"/>
              <a:gd name="connsiteX2" fmla="*/ 913844 w 913844"/>
              <a:gd name="connsiteY2" fmla="*/ 4618 h 4618"/>
              <a:gd name="connsiteX0" fmla="*/ 0 w 2183"/>
              <a:gd name="connsiteY0" fmla="*/ 0 h 340024"/>
              <a:gd name="connsiteX1" fmla="*/ 0 w 2183"/>
              <a:gd name="connsiteY1" fmla="*/ 330024 h 340024"/>
              <a:gd name="connsiteX2" fmla="*/ 2183 w 2183"/>
              <a:gd name="connsiteY2" fmla="*/ 340024 h 340024"/>
              <a:gd name="connsiteX0" fmla="*/ 0 w 9535"/>
              <a:gd name="connsiteY0" fmla="*/ 0 h 9706"/>
              <a:gd name="connsiteX1" fmla="*/ 0 w 9535"/>
              <a:gd name="connsiteY1" fmla="*/ 9706 h 9706"/>
              <a:gd name="connsiteX2" fmla="*/ 9535 w 9535"/>
              <a:gd name="connsiteY2" fmla="*/ 9412 h 9706"/>
              <a:gd name="connsiteX0" fmla="*/ 0 w 10000"/>
              <a:gd name="connsiteY0" fmla="*/ 0 h 10000"/>
              <a:gd name="connsiteX1" fmla="*/ 0 w 10000"/>
              <a:gd name="connsiteY1" fmla="*/ 10000 h 10000"/>
              <a:gd name="connsiteX2" fmla="*/ 10000 w 10000"/>
              <a:gd name="connsiteY2" fmla="*/ 9697 h 10000"/>
              <a:gd name="connsiteX0" fmla="*/ 0 w 31217"/>
              <a:gd name="connsiteY0" fmla="*/ 0 h 10000"/>
              <a:gd name="connsiteX1" fmla="*/ 0 w 31217"/>
              <a:gd name="connsiteY1" fmla="*/ 10000 h 10000"/>
              <a:gd name="connsiteX2" fmla="*/ 31217 w 3121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217" h="10000">
                <a:moveTo>
                  <a:pt x="0" y="0"/>
                </a:moveTo>
                <a:lnTo>
                  <a:pt x="0" y="10000"/>
                </a:lnTo>
                <a:lnTo>
                  <a:pt x="31217" y="100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65" name="正方形/長方形 64"/>
          <xdr:cNvSpPr/>
        </xdr:nvSpPr>
        <xdr:spPr>
          <a:xfrm>
            <a:off x="16781316" y="3061533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176686</xdr:colOff>
      <xdr:row>13</xdr:row>
      <xdr:rowOff>122084</xdr:rowOff>
    </xdr:from>
    <xdr:to>
      <xdr:col>27</xdr:col>
      <xdr:colOff>390525</xdr:colOff>
      <xdr:row>14</xdr:row>
      <xdr:rowOff>126207</xdr:rowOff>
    </xdr:to>
    <xdr:grpSp>
      <xdr:nvGrpSpPr>
        <xdr:cNvPr id="66" name="グループ化 65"/>
        <xdr:cNvGrpSpPr/>
      </xdr:nvGrpSpPr>
      <xdr:grpSpPr>
        <a:xfrm>
          <a:off x="7225186" y="2074709"/>
          <a:ext cx="213839" cy="156523"/>
          <a:chOff x="16781316" y="3061533"/>
          <a:chExt cx="215001" cy="158382"/>
        </a:xfrm>
      </xdr:grpSpPr>
      <xdr:sp macro="" textlink="">
        <xdr:nvSpPr>
          <xdr:cNvPr id="67" name="フリーフォーム 66"/>
          <xdr:cNvSpPr/>
        </xdr:nvSpPr>
        <xdr:spPr>
          <a:xfrm>
            <a:off x="16838319" y="3066584"/>
            <a:ext cx="157998" cy="153331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  <a:gd name="connsiteX0" fmla="*/ 0 w 913844"/>
              <a:gd name="connsiteY0" fmla="*/ 0 h 4618"/>
              <a:gd name="connsiteX1" fmla="*/ 714375 w 913844"/>
              <a:gd name="connsiteY1" fmla="*/ 0 h 4618"/>
              <a:gd name="connsiteX2" fmla="*/ 913844 w 913844"/>
              <a:gd name="connsiteY2" fmla="*/ 4618 h 4618"/>
              <a:gd name="connsiteX0" fmla="*/ 0 w 2183"/>
              <a:gd name="connsiteY0" fmla="*/ 0 h 340024"/>
              <a:gd name="connsiteX1" fmla="*/ 0 w 2183"/>
              <a:gd name="connsiteY1" fmla="*/ 330024 h 340024"/>
              <a:gd name="connsiteX2" fmla="*/ 2183 w 2183"/>
              <a:gd name="connsiteY2" fmla="*/ 340024 h 340024"/>
              <a:gd name="connsiteX0" fmla="*/ 0 w 9535"/>
              <a:gd name="connsiteY0" fmla="*/ 0 h 9706"/>
              <a:gd name="connsiteX1" fmla="*/ 0 w 9535"/>
              <a:gd name="connsiteY1" fmla="*/ 9706 h 9706"/>
              <a:gd name="connsiteX2" fmla="*/ 9535 w 9535"/>
              <a:gd name="connsiteY2" fmla="*/ 9412 h 9706"/>
              <a:gd name="connsiteX0" fmla="*/ 0 w 10000"/>
              <a:gd name="connsiteY0" fmla="*/ 0 h 10000"/>
              <a:gd name="connsiteX1" fmla="*/ 0 w 10000"/>
              <a:gd name="connsiteY1" fmla="*/ 10000 h 10000"/>
              <a:gd name="connsiteX2" fmla="*/ 10000 w 10000"/>
              <a:gd name="connsiteY2" fmla="*/ 9697 h 10000"/>
              <a:gd name="connsiteX0" fmla="*/ 0 w 31217"/>
              <a:gd name="connsiteY0" fmla="*/ 0 h 10000"/>
              <a:gd name="connsiteX1" fmla="*/ 0 w 31217"/>
              <a:gd name="connsiteY1" fmla="*/ 10000 h 10000"/>
              <a:gd name="connsiteX2" fmla="*/ 31217 w 3121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217" h="10000">
                <a:moveTo>
                  <a:pt x="0" y="0"/>
                </a:moveTo>
                <a:lnTo>
                  <a:pt x="0" y="10000"/>
                </a:lnTo>
                <a:lnTo>
                  <a:pt x="31217" y="100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68" name="正方形/長方形 67"/>
          <xdr:cNvSpPr/>
        </xdr:nvSpPr>
        <xdr:spPr>
          <a:xfrm>
            <a:off x="16781316" y="3061533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26</xdr:col>
      <xdr:colOff>28575</xdr:colOff>
      <xdr:row>4</xdr:row>
      <xdr:rowOff>120864</xdr:rowOff>
    </xdr:from>
    <xdr:to>
      <xdr:col>26</xdr:col>
      <xdr:colOff>206167</xdr:colOff>
      <xdr:row>5</xdr:row>
      <xdr:rowOff>135209</xdr:rowOff>
    </xdr:to>
    <xdr:grpSp>
      <xdr:nvGrpSpPr>
        <xdr:cNvPr id="69" name="グループ化 68"/>
        <xdr:cNvGrpSpPr/>
      </xdr:nvGrpSpPr>
      <xdr:grpSpPr>
        <a:xfrm>
          <a:off x="6581775" y="701889"/>
          <a:ext cx="177592" cy="166745"/>
          <a:chOff x="16996317" y="3628387"/>
          <a:chExt cx="177592" cy="167674"/>
        </a:xfrm>
      </xdr:grpSpPr>
      <xdr:sp macro="" textlink="">
        <xdr:nvSpPr>
          <xdr:cNvPr id="70" name="フリーフォーム 69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71" name="正方形/長方形 70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24</xdr:col>
      <xdr:colOff>200025</xdr:colOff>
      <xdr:row>6</xdr:row>
      <xdr:rowOff>130389</xdr:rowOff>
    </xdr:from>
    <xdr:to>
      <xdr:col>24</xdr:col>
      <xdr:colOff>377617</xdr:colOff>
      <xdr:row>7</xdr:row>
      <xdr:rowOff>144734</xdr:rowOff>
    </xdr:to>
    <xdr:grpSp>
      <xdr:nvGrpSpPr>
        <xdr:cNvPr id="72" name="グループ化 71"/>
        <xdr:cNvGrpSpPr/>
      </xdr:nvGrpSpPr>
      <xdr:grpSpPr>
        <a:xfrm>
          <a:off x="5857875" y="1016214"/>
          <a:ext cx="177592" cy="166745"/>
          <a:chOff x="16996317" y="3628387"/>
          <a:chExt cx="177592" cy="167674"/>
        </a:xfrm>
      </xdr:grpSpPr>
      <xdr:sp macro="" textlink="">
        <xdr:nvSpPr>
          <xdr:cNvPr id="73" name="フリーフォーム 72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74" name="正方形/長方形 73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30</xdr:col>
      <xdr:colOff>433736</xdr:colOff>
      <xdr:row>12</xdr:row>
      <xdr:rowOff>19978</xdr:rowOff>
    </xdr:from>
    <xdr:to>
      <xdr:col>31</xdr:col>
      <xdr:colOff>95272</xdr:colOff>
      <xdr:row>13</xdr:row>
      <xdr:rowOff>19051</xdr:rowOff>
    </xdr:to>
    <xdr:sp macro="" textlink="">
      <xdr:nvSpPr>
        <xdr:cNvPr id="75" name="フリーフォーム 74"/>
        <xdr:cNvSpPr/>
      </xdr:nvSpPr>
      <xdr:spPr>
        <a:xfrm flipH="1">
          <a:off x="8968136" y="1820203"/>
          <a:ext cx="156836" cy="151473"/>
        </a:xfrm>
        <a:custGeom>
          <a:avLst/>
          <a:gdLst>
            <a:gd name="connsiteX0" fmla="*/ 0 w 809625"/>
            <a:gd name="connsiteY0" fmla="*/ 66675 h 247650"/>
            <a:gd name="connsiteX1" fmla="*/ 723900 w 809625"/>
            <a:gd name="connsiteY1" fmla="*/ 0 h 247650"/>
            <a:gd name="connsiteX2" fmla="*/ 809625 w 809625"/>
            <a:gd name="connsiteY2" fmla="*/ 247650 h 247650"/>
            <a:gd name="connsiteX0" fmla="*/ 0 w 828675"/>
            <a:gd name="connsiteY0" fmla="*/ 47625 h 247650"/>
            <a:gd name="connsiteX1" fmla="*/ 742950 w 828675"/>
            <a:gd name="connsiteY1" fmla="*/ 0 h 247650"/>
            <a:gd name="connsiteX2" fmla="*/ 828675 w 828675"/>
            <a:gd name="connsiteY2" fmla="*/ 247650 h 247650"/>
            <a:gd name="connsiteX0" fmla="*/ 0 w 828675"/>
            <a:gd name="connsiteY0" fmla="*/ 0 h 200025"/>
            <a:gd name="connsiteX1" fmla="*/ 714375 w 828675"/>
            <a:gd name="connsiteY1" fmla="*/ 0 h 200025"/>
            <a:gd name="connsiteX2" fmla="*/ 828675 w 828675"/>
            <a:gd name="connsiteY2" fmla="*/ 200025 h 200025"/>
            <a:gd name="connsiteX0" fmla="*/ 0 w 714375"/>
            <a:gd name="connsiteY0" fmla="*/ 0 h 152400"/>
            <a:gd name="connsiteX1" fmla="*/ 714375 w 714375"/>
            <a:gd name="connsiteY1" fmla="*/ 0 h 152400"/>
            <a:gd name="connsiteX2" fmla="*/ 714375 w 714375"/>
            <a:gd name="connsiteY2" fmla="*/ 152400 h 152400"/>
            <a:gd name="connsiteX0" fmla="*/ 0 w 913844"/>
            <a:gd name="connsiteY0" fmla="*/ 0 h 4618"/>
            <a:gd name="connsiteX1" fmla="*/ 714375 w 913844"/>
            <a:gd name="connsiteY1" fmla="*/ 0 h 4618"/>
            <a:gd name="connsiteX2" fmla="*/ 913844 w 913844"/>
            <a:gd name="connsiteY2" fmla="*/ 4618 h 4618"/>
            <a:gd name="connsiteX0" fmla="*/ 0 w 2183"/>
            <a:gd name="connsiteY0" fmla="*/ 0 h 340024"/>
            <a:gd name="connsiteX1" fmla="*/ 0 w 2183"/>
            <a:gd name="connsiteY1" fmla="*/ 330024 h 340024"/>
            <a:gd name="connsiteX2" fmla="*/ 2183 w 2183"/>
            <a:gd name="connsiteY2" fmla="*/ 340024 h 340024"/>
            <a:gd name="connsiteX0" fmla="*/ 0 w 9535"/>
            <a:gd name="connsiteY0" fmla="*/ 0 h 9706"/>
            <a:gd name="connsiteX1" fmla="*/ 0 w 9535"/>
            <a:gd name="connsiteY1" fmla="*/ 9706 h 9706"/>
            <a:gd name="connsiteX2" fmla="*/ 9535 w 9535"/>
            <a:gd name="connsiteY2" fmla="*/ 9412 h 9706"/>
            <a:gd name="connsiteX0" fmla="*/ 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9697 h 10000"/>
            <a:gd name="connsiteX0" fmla="*/ 0 w 31217"/>
            <a:gd name="connsiteY0" fmla="*/ 0 h 10000"/>
            <a:gd name="connsiteX1" fmla="*/ 0 w 31217"/>
            <a:gd name="connsiteY1" fmla="*/ 10000 h 10000"/>
            <a:gd name="connsiteX2" fmla="*/ 31217 w 31217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217" h="10000">
              <a:moveTo>
                <a:pt x="0" y="0"/>
              </a:moveTo>
              <a:lnTo>
                <a:pt x="0" y="10000"/>
              </a:lnTo>
              <a:lnTo>
                <a:pt x="31217" y="10000"/>
              </a:lnTo>
            </a:path>
          </a:pathLst>
        </a:custGeom>
        <a:ln>
          <a:solidFill>
            <a:schemeClr val="bg1">
              <a:lumMod val="65000"/>
            </a:schemeClr>
          </a:solidFill>
          <a:headEnd type="none" w="med" len="med"/>
          <a:tailEnd type="arrow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214661</xdr:colOff>
      <xdr:row>14</xdr:row>
      <xdr:rowOff>19978</xdr:rowOff>
    </xdr:from>
    <xdr:to>
      <xdr:col>29</xdr:col>
      <xdr:colOff>371497</xdr:colOff>
      <xdr:row>15</xdr:row>
      <xdr:rowOff>19051</xdr:rowOff>
    </xdr:to>
    <xdr:sp macro="" textlink="">
      <xdr:nvSpPr>
        <xdr:cNvPr id="76" name="フリーフォーム 75"/>
        <xdr:cNvSpPr/>
      </xdr:nvSpPr>
      <xdr:spPr>
        <a:xfrm flipH="1">
          <a:off x="8253761" y="2125003"/>
          <a:ext cx="156836" cy="151473"/>
        </a:xfrm>
        <a:custGeom>
          <a:avLst/>
          <a:gdLst>
            <a:gd name="connsiteX0" fmla="*/ 0 w 809625"/>
            <a:gd name="connsiteY0" fmla="*/ 66675 h 247650"/>
            <a:gd name="connsiteX1" fmla="*/ 723900 w 809625"/>
            <a:gd name="connsiteY1" fmla="*/ 0 h 247650"/>
            <a:gd name="connsiteX2" fmla="*/ 809625 w 809625"/>
            <a:gd name="connsiteY2" fmla="*/ 247650 h 247650"/>
            <a:gd name="connsiteX0" fmla="*/ 0 w 828675"/>
            <a:gd name="connsiteY0" fmla="*/ 47625 h 247650"/>
            <a:gd name="connsiteX1" fmla="*/ 742950 w 828675"/>
            <a:gd name="connsiteY1" fmla="*/ 0 h 247650"/>
            <a:gd name="connsiteX2" fmla="*/ 828675 w 828675"/>
            <a:gd name="connsiteY2" fmla="*/ 247650 h 247650"/>
            <a:gd name="connsiteX0" fmla="*/ 0 w 828675"/>
            <a:gd name="connsiteY0" fmla="*/ 0 h 200025"/>
            <a:gd name="connsiteX1" fmla="*/ 714375 w 828675"/>
            <a:gd name="connsiteY1" fmla="*/ 0 h 200025"/>
            <a:gd name="connsiteX2" fmla="*/ 828675 w 828675"/>
            <a:gd name="connsiteY2" fmla="*/ 200025 h 200025"/>
            <a:gd name="connsiteX0" fmla="*/ 0 w 714375"/>
            <a:gd name="connsiteY0" fmla="*/ 0 h 152400"/>
            <a:gd name="connsiteX1" fmla="*/ 714375 w 714375"/>
            <a:gd name="connsiteY1" fmla="*/ 0 h 152400"/>
            <a:gd name="connsiteX2" fmla="*/ 714375 w 714375"/>
            <a:gd name="connsiteY2" fmla="*/ 152400 h 152400"/>
            <a:gd name="connsiteX0" fmla="*/ 0 w 913844"/>
            <a:gd name="connsiteY0" fmla="*/ 0 h 4618"/>
            <a:gd name="connsiteX1" fmla="*/ 714375 w 913844"/>
            <a:gd name="connsiteY1" fmla="*/ 0 h 4618"/>
            <a:gd name="connsiteX2" fmla="*/ 913844 w 913844"/>
            <a:gd name="connsiteY2" fmla="*/ 4618 h 4618"/>
            <a:gd name="connsiteX0" fmla="*/ 0 w 2183"/>
            <a:gd name="connsiteY0" fmla="*/ 0 h 340024"/>
            <a:gd name="connsiteX1" fmla="*/ 0 w 2183"/>
            <a:gd name="connsiteY1" fmla="*/ 330024 h 340024"/>
            <a:gd name="connsiteX2" fmla="*/ 2183 w 2183"/>
            <a:gd name="connsiteY2" fmla="*/ 340024 h 340024"/>
            <a:gd name="connsiteX0" fmla="*/ 0 w 9535"/>
            <a:gd name="connsiteY0" fmla="*/ 0 h 9706"/>
            <a:gd name="connsiteX1" fmla="*/ 0 w 9535"/>
            <a:gd name="connsiteY1" fmla="*/ 9706 h 9706"/>
            <a:gd name="connsiteX2" fmla="*/ 9535 w 9535"/>
            <a:gd name="connsiteY2" fmla="*/ 9412 h 9706"/>
            <a:gd name="connsiteX0" fmla="*/ 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9697 h 10000"/>
            <a:gd name="connsiteX0" fmla="*/ 0 w 31217"/>
            <a:gd name="connsiteY0" fmla="*/ 0 h 10000"/>
            <a:gd name="connsiteX1" fmla="*/ 0 w 31217"/>
            <a:gd name="connsiteY1" fmla="*/ 10000 h 10000"/>
            <a:gd name="connsiteX2" fmla="*/ 31217 w 31217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217" h="10000">
              <a:moveTo>
                <a:pt x="0" y="0"/>
              </a:moveTo>
              <a:lnTo>
                <a:pt x="0" y="10000"/>
              </a:lnTo>
              <a:lnTo>
                <a:pt x="31217" y="10000"/>
              </a:lnTo>
            </a:path>
          </a:pathLst>
        </a:custGeom>
        <a:ln>
          <a:solidFill>
            <a:schemeClr val="bg1">
              <a:lumMod val="65000"/>
            </a:schemeClr>
          </a:solidFill>
          <a:headEnd type="none" w="med" len="med"/>
          <a:tailEnd type="arrow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422101</xdr:colOff>
      <xdr:row>4</xdr:row>
      <xdr:rowOff>123101</xdr:rowOff>
    </xdr:from>
    <xdr:to>
      <xdr:col>31</xdr:col>
      <xdr:colOff>115460</xdr:colOff>
      <xdr:row>5</xdr:row>
      <xdr:rowOff>135208</xdr:rowOff>
    </xdr:to>
    <xdr:grpSp>
      <xdr:nvGrpSpPr>
        <xdr:cNvPr id="77" name="グループ化 76"/>
        <xdr:cNvGrpSpPr/>
      </xdr:nvGrpSpPr>
      <xdr:grpSpPr>
        <a:xfrm>
          <a:off x="8956501" y="704126"/>
          <a:ext cx="188659" cy="164507"/>
          <a:chOff x="16092120" y="3783953"/>
          <a:chExt cx="188659" cy="165437"/>
        </a:xfrm>
      </xdr:grpSpPr>
      <xdr:sp macro="" textlink="">
        <xdr:nvSpPr>
          <xdr:cNvPr id="78" name="フリーフォーム 77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79" name="正方形/長方形 78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32</xdr:col>
      <xdr:colOff>145876</xdr:colOff>
      <xdr:row>6</xdr:row>
      <xdr:rowOff>123101</xdr:rowOff>
    </xdr:from>
    <xdr:to>
      <xdr:col>32</xdr:col>
      <xdr:colOff>334535</xdr:colOff>
      <xdr:row>7</xdr:row>
      <xdr:rowOff>135208</xdr:rowOff>
    </xdr:to>
    <xdr:grpSp>
      <xdr:nvGrpSpPr>
        <xdr:cNvPr id="80" name="グループ化 79"/>
        <xdr:cNvGrpSpPr/>
      </xdr:nvGrpSpPr>
      <xdr:grpSpPr>
        <a:xfrm>
          <a:off x="9670876" y="1008926"/>
          <a:ext cx="188659" cy="164507"/>
          <a:chOff x="16092120" y="3783953"/>
          <a:chExt cx="188659" cy="165437"/>
        </a:xfrm>
      </xdr:grpSpPr>
      <xdr:sp macro="" textlink="">
        <xdr:nvSpPr>
          <xdr:cNvPr id="81" name="フリーフォーム 80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82" name="正方形/長方形 81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26</xdr:col>
      <xdr:colOff>255597</xdr:colOff>
      <xdr:row>10</xdr:row>
      <xdr:rowOff>75071</xdr:rowOff>
    </xdr:from>
    <xdr:to>
      <xdr:col>26</xdr:col>
      <xdr:colOff>461933</xdr:colOff>
      <xdr:row>11</xdr:row>
      <xdr:rowOff>27360</xdr:rowOff>
    </xdr:to>
    <xdr:grpSp>
      <xdr:nvGrpSpPr>
        <xdr:cNvPr id="83" name="グループ化 82"/>
        <xdr:cNvGrpSpPr/>
      </xdr:nvGrpSpPr>
      <xdr:grpSpPr>
        <a:xfrm>
          <a:off x="6808797" y="1570496"/>
          <a:ext cx="206336" cy="104689"/>
          <a:chOff x="16074444" y="3171421"/>
          <a:chExt cx="206336" cy="105619"/>
        </a:xfrm>
      </xdr:grpSpPr>
      <xdr:cxnSp macro="">
        <xdr:nvCxnSpPr>
          <xdr:cNvPr id="84" name="直線矢印コネクタ 83"/>
          <xdr:cNvCxnSpPr/>
        </xdr:nvCxnSpPr>
        <xdr:spPr>
          <a:xfrm>
            <a:off x="16127451" y="3219915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5" name="正方形/長方形 84"/>
          <xdr:cNvSpPr/>
        </xdr:nvSpPr>
        <xdr:spPr>
          <a:xfrm>
            <a:off x="16074444" y="3171421"/>
            <a:ext cx="108000" cy="10561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465147</xdr:colOff>
      <xdr:row>12</xdr:row>
      <xdr:rowOff>15541</xdr:rowOff>
    </xdr:from>
    <xdr:to>
      <xdr:col>28</xdr:col>
      <xdr:colOff>176183</xdr:colOff>
      <xdr:row>12</xdr:row>
      <xdr:rowOff>122612</xdr:rowOff>
    </xdr:to>
    <xdr:grpSp>
      <xdr:nvGrpSpPr>
        <xdr:cNvPr id="86" name="グループ化 85"/>
        <xdr:cNvGrpSpPr/>
      </xdr:nvGrpSpPr>
      <xdr:grpSpPr>
        <a:xfrm>
          <a:off x="7513647" y="1815766"/>
          <a:ext cx="206336" cy="107071"/>
          <a:chOff x="16074444" y="3171421"/>
          <a:chExt cx="206336" cy="105619"/>
        </a:xfrm>
      </xdr:grpSpPr>
      <xdr:cxnSp macro="">
        <xdr:nvCxnSpPr>
          <xdr:cNvPr id="87" name="直線矢印コネクタ 86"/>
          <xdr:cNvCxnSpPr/>
        </xdr:nvCxnSpPr>
        <xdr:spPr>
          <a:xfrm>
            <a:off x="16127451" y="3219915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8" name="正方形/長方形 87"/>
          <xdr:cNvSpPr/>
        </xdr:nvSpPr>
        <xdr:spPr>
          <a:xfrm>
            <a:off x="16074444" y="3171421"/>
            <a:ext cx="108000" cy="10561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473677</xdr:colOff>
      <xdr:row>4</xdr:row>
      <xdr:rowOff>19982</xdr:rowOff>
    </xdr:from>
    <xdr:to>
      <xdr:col>28</xdr:col>
      <xdr:colOff>182136</xdr:colOff>
      <xdr:row>4</xdr:row>
      <xdr:rowOff>127983</xdr:rowOff>
    </xdr:to>
    <xdr:grpSp>
      <xdr:nvGrpSpPr>
        <xdr:cNvPr id="89" name="グループ化 88"/>
        <xdr:cNvGrpSpPr/>
      </xdr:nvGrpSpPr>
      <xdr:grpSpPr>
        <a:xfrm>
          <a:off x="7522177" y="601007"/>
          <a:ext cx="203759" cy="108001"/>
          <a:chOff x="16077021" y="3323239"/>
          <a:chExt cx="203759" cy="106548"/>
        </a:xfrm>
      </xdr:grpSpPr>
      <xdr:cxnSp macro="">
        <xdr:nvCxnSpPr>
          <xdr:cNvPr id="90" name="直線矢印コネクタ 89"/>
          <xdr:cNvCxnSpPr/>
        </xdr:nvCxnSpPr>
        <xdr:spPr>
          <a:xfrm>
            <a:off x="16127451" y="3373244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1" name="正方形/長方形 90"/>
          <xdr:cNvSpPr/>
        </xdr:nvSpPr>
        <xdr:spPr>
          <a:xfrm>
            <a:off x="16077021" y="3323239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D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473677</xdr:colOff>
      <xdr:row>8</xdr:row>
      <xdr:rowOff>19982</xdr:rowOff>
    </xdr:from>
    <xdr:to>
      <xdr:col>28</xdr:col>
      <xdr:colOff>182136</xdr:colOff>
      <xdr:row>8</xdr:row>
      <xdr:rowOff>127983</xdr:rowOff>
    </xdr:to>
    <xdr:grpSp>
      <xdr:nvGrpSpPr>
        <xdr:cNvPr id="92" name="グループ化 91"/>
        <xdr:cNvGrpSpPr/>
      </xdr:nvGrpSpPr>
      <xdr:grpSpPr>
        <a:xfrm>
          <a:off x="7522177" y="1210607"/>
          <a:ext cx="203759" cy="108001"/>
          <a:chOff x="16077021" y="3323239"/>
          <a:chExt cx="203759" cy="106548"/>
        </a:xfrm>
      </xdr:grpSpPr>
      <xdr:cxnSp macro="">
        <xdr:nvCxnSpPr>
          <xdr:cNvPr id="93" name="直線矢印コネクタ 92"/>
          <xdr:cNvCxnSpPr/>
        </xdr:nvCxnSpPr>
        <xdr:spPr>
          <a:xfrm>
            <a:off x="16127451" y="3373244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4" name="正方形/長方形 93"/>
          <xdr:cNvSpPr/>
        </xdr:nvSpPr>
        <xdr:spPr>
          <a:xfrm>
            <a:off x="16077021" y="3323239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D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30</xdr:col>
      <xdr:colOff>416527</xdr:colOff>
      <xdr:row>8</xdr:row>
      <xdr:rowOff>19982</xdr:rowOff>
    </xdr:from>
    <xdr:to>
      <xdr:col>31</xdr:col>
      <xdr:colOff>124986</xdr:colOff>
      <xdr:row>8</xdr:row>
      <xdr:rowOff>127983</xdr:rowOff>
    </xdr:to>
    <xdr:grpSp>
      <xdr:nvGrpSpPr>
        <xdr:cNvPr id="95" name="グループ化 94"/>
        <xdr:cNvGrpSpPr/>
      </xdr:nvGrpSpPr>
      <xdr:grpSpPr>
        <a:xfrm>
          <a:off x="8950927" y="1210607"/>
          <a:ext cx="203759" cy="108001"/>
          <a:chOff x="16077021" y="3323239"/>
          <a:chExt cx="203759" cy="106548"/>
        </a:xfrm>
      </xdr:grpSpPr>
      <xdr:cxnSp macro="">
        <xdr:nvCxnSpPr>
          <xdr:cNvPr id="96" name="直線矢印コネクタ 95"/>
          <xdr:cNvCxnSpPr/>
        </xdr:nvCxnSpPr>
        <xdr:spPr>
          <a:xfrm>
            <a:off x="16127451" y="3373244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7" name="正方形/長方形 96"/>
          <xdr:cNvSpPr/>
        </xdr:nvSpPr>
        <xdr:spPr>
          <a:xfrm>
            <a:off x="16077021" y="3323239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D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29</xdr:col>
      <xdr:colOff>187927</xdr:colOff>
      <xdr:row>6</xdr:row>
      <xdr:rowOff>19982</xdr:rowOff>
    </xdr:from>
    <xdr:to>
      <xdr:col>29</xdr:col>
      <xdr:colOff>391686</xdr:colOff>
      <xdr:row>6</xdr:row>
      <xdr:rowOff>127982</xdr:rowOff>
    </xdr:to>
    <xdr:grpSp>
      <xdr:nvGrpSpPr>
        <xdr:cNvPr id="98" name="グループ化 97"/>
        <xdr:cNvGrpSpPr/>
      </xdr:nvGrpSpPr>
      <xdr:grpSpPr>
        <a:xfrm>
          <a:off x="8227027" y="905807"/>
          <a:ext cx="203759" cy="108000"/>
          <a:chOff x="16077021" y="3323239"/>
          <a:chExt cx="203759" cy="106548"/>
        </a:xfrm>
      </xdr:grpSpPr>
      <xdr:cxnSp macro="">
        <xdr:nvCxnSpPr>
          <xdr:cNvPr id="99" name="直線矢印コネクタ 98"/>
          <xdr:cNvCxnSpPr/>
        </xdr:nvCxnSpPr>
        <xdr:spPr>
          <a:xfrm>
            <a:off x="16127451" y="3373244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0" name="正方形/長方形 99"/>
          <xdr:cNvSpPr/>
        </xdr:nvSpPr>
        <xdr:spPr>
          <a:xfrm>
            <a:off x="16077021" y="3323239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D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29</xdr:col>
      <xdr:colOff>187927</xdr:colOff>
      <xdr:row>10</xdr:row>
      <xdr:rowOff>19982</xdr:rowOff>
    </xdr:from>
    <xdr:to>
      <xdr:col>29</xdr:col>
      <xdr:colOff>391686</xdr:colOff>
      <xdr:row>10</xdr:row>
      <xdr:rowOff>127982</xdr:rowOff>
    </xdr:to>
    <xdr:grpSp>
      <xdr:nvGrpSpPr>
        <xdr:cNvPr id="101" name="グループ化 100"/>
        <xdr:cNvGrpSpPr/>
      </xdr:nvGrpSpPr>
      <xdr:grpSpPr>
        <a:xfrm>
          <a:off x="8227027" y="1515407"/>
          <a:ext cx="203759" cy="108000"/>
          <a:chOff x="16077021" y="3323239"/>
          <a:chExt cx="203759" cy="106548"/>
        </a:xfrm>
      </xdr:grpSpPr>
      <xdr:cxnSp macro="">
        <xdr:nvCxnSpPr>
          <xdr:cNvPr id="102" name="直線矢印コネクタ 101"/>
          <xdr:cNvCxnSpPr/>
        </xdr:nvCxnSpPr>
        <xdr:spPr>
          <a:xfrm>
            <a:off x="16127451" y="3373244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3" name="正方形/長方形 102"/>
          <xdr:cNvSpPr/>
        </xdr:nvSpPr>
        <xdr:spPr>
          <a:xfrm>
            <a:off x="16077021" y="3323239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D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28</xdr:col>
      <xdr:colOff>475059</xdr:colOff>
      <xdr:row>4</xdr:row>
      <xdr:rowOff>138725</xdr:rowOff>
    </xdr:from>
    <xdr:to>
      <xdr:col>29</xdr:col>
      <xdr:colOff>157351</xdr:colOff>
      <xdr:row>6</xdr:row>
      <xdr:rowOff>669</xdr:rowOff>
    </xdr:to>
    <xdr:grpSp>
      <xdr:nvGrpSpPr>
        <xdr:cNvPr id="104" name="グループ化 103"/>
        <xdr:cNvGrpSpPr/>
      </xdr:nvGrpSpPr>
      <xdr:grpSpPr>
        <a:xfrm>
          <a:off x="8018859" y="719750"/>
          <a:ext cx="177592" cy="166744"/>
          <a:chOff x="16996317" y="3628387"/>
          <a:chExt cx="177592" cy="167674"/>
        </a:xfrm>
      </xdr:grpSpPr>
      <xdr:sp macro="" textlink="">
        <xdr:nvSpPr>
          <xdr:cNvPr id="105" name="フリーフォーム 104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06" name="正方形/長方形 105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30</xdr:col>
      <xdr:colOff>198834</xdr:colOff>
      <xdr:row>6</xdr:row>
      <xdr:rowOff>144678</xdr:rowOff>
    </xdr:from>
    <xdr:to>
      <xdr:col>30</xdr:col>
      <xdr:colOff>376426</xdr:colOff>
      <xdr:row>8</xdr:row>
      <xdr:rowOff>4242</xdr:rowOff>
    </xdr:to>
    <xdr:grpSp>
      <xdr:nvGrpSpPr>
        <xdr:cNvPr id="107" name="グループ化 106"/>
        <xdr:cNvGrpSpPr/>
      </xdr:nvGrpSpPr>
      <xdr:grpSpPr>
        <a:xfrm>
          <a:off x="8733234" y="1030503"/>
          <a:ext cx="177592" cy="164364"/>
          <a:chOff x="16996317" y="3628387"/>
          <a:chExt cx="177592" cy="167674"/>
        </a:xfrm>
      </xdr:grpSpPr>
      <xdr:sp macro="" textlink="">
        <xdr:nvSpPr>
          <xdr:cNvPr id="108" name="フリーフォーム 107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09" name="正方形/長方形 108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469726</xdr:colOff>
      <xdr:row>4</xdr:row>
      <xdr:rowOff>146914</xdr:rowOff>
    </xdr:from>
    <xdr:to>
      <xdr:col>28</xdr:col>
      <xdr:colOff>163085</xdr:colOff>
      <xdr:row>6</xdr:row>
      <xdr:rowOff>4239</xdr:rowOff>
    </xdr:to>
    <xdr:grpSp>
      <xdr:nvGrpSpPr>
        <xdr:cNvPr id="110" name="グループ化 109"/>
        <xdr:cNvGrpSpPr/>
      </xdr:nvGrpSpPr>
      <xdr:grpSpPr>
        <a:xfrm>
          <a:off x="7518226" y="727939"/>
          <a:ext cx="188659" cy="162125"/>
          <a:chOff x="16092120" y="3783953"/>
          <a:chExt cx="188659" cy="165437"/>
        </a:xfrm>
      </xdr:grpSpPr>
      <xdr:sp macro="" textlink="">
        <xdr:nvSpPr>
          <xdr:cNvPr id="111" name="フリーフォーム 110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12" name="正方形/長方形 111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469726</xdr:colOff>
      <xdr:row>8</xdr:row>
      <xdr:rowOff>140961</xdr:rowOff>
    </xdr:from>
    <xdr:to>
      <xdr:col>28</xdr:col>
      <xdr:colOff>163085</xdr:colOff>
      <xdr:row>10</xdr:row>
      <xdr:rowOff>667</xdr:rowOff>
    </xdr:to>
    <xdr:grpSp>
      <xdr:nvGrpSpPr>
        <xdr:cNvPr id="113" name="グループ化 112"/>
        <xdr:cNvGrpSpPr/>
      </xdr:nvGrpSpPr>
      <xdr:grpSpPr>
        <a:xfrm>
          <a:off x="7518226" y="1331586"/>
          <a:ext cx="188659" cy="164506"/>
          <a:chOff x="16092120" y="3783953"/>
          <a:chExt cx="188659" cy="165437"/>
        </a:xfrm>
      </xdr:grpSpPr>
      <xdr:sp macro="" textlink="">
        <xdr:nvSpPr>
          <xdr:cNvPr id="114" name="フリーフォーム 113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15" name="正方形/長方形 114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469726</xdr:colOff>
      <xdr:row>12</xdr:row>
      <xdr:rowOff>146914</xdr:rowOff>
    </xdr:from>
    <xdr:to>
      <xdr:col>28</xdr:col>
      <xdr:colOff>163085</xdr:colOff>
      <xdr:row>14</xdr:row>
      <xdr:rowOff>4239</xdr:rowOff>
    </xdr:to>
    <xdr:grpSp>
      <xdr:nvGrpSpPr>
        <xdr:cNvPr id="116" name="グループ化 115"/>
        <xdr:cNvGrpSpPr/>
      </xdr:nvGrpSpPr>
      <xdr:grpSpPr>
        <a:xfrm>
          <a:off x="7518226" y="1947139"/>
          <a:ext cx="188659" cy="162125"/>
          <a:chOff x="16092120" y="3783953"/>
          <a:chExt cx="188659" cy="165437"/>
        </a:xfrm>
      </xdr:grpSpPr>
      <xdr:sp macro="" textlink="">
        <xdr:nvSpPr>
          <xdr:cNvPr id="117" name="フリーフォーム 116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18" name="正方形/長方形 117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26</xdr:col>
      <xdr:colOff>250651</xdr:colOff>
      <xdr:row>6</xdr:row>
      <xdr:rowOff>140960</xdr:rowOff>
    </xdr:from>
    <xdr:to>
      <xdr:col>26</xdr:col>
      <xdr:colOff>439310</xdr:colOff>
      <xdr:row>8</xdr:row>
      <xdr:rowOff>667</xdr:rowOff>
    </xdr:to>
    <xdr:grpSp>
      <xdr:nvGrpSpPr>
        <xdr:cNvPr id="119" name="グループ化 118"/>
        <xdr:cNvGrpSpPr/>
      </xdr:nvGrpSpPr>
      <xdr:grpSpPr>
        <a:xfrm>
          <a:off x="6803851" y="1026785"/>
          <a:ext cx="188659" cy="164507"/>
          <a:chOff x="16092120" y="3783953"/>
          <a:chExt cx="188659" cy="165437"/>
        </a:xfrm>
      </xdr:grpSpPr>
      <xdr:sp macro="" textlink="">
        <xdr:nvSpPr>
          <xdr:cNvPr id="120" name="フリーフォーム 119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21" name="正方形/長方形 120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29</xdr:col>
      <xdr:colOff>187548</xdr:colOff>
      <xdr:row>6</xdr:row>
      <xdr:rowOff>140960</xdr:rowOff>
    </xdr:from>
    <xdr:to>
      <xdr:col>29</xdr:col>
      <xdr:colOff>376207</xdr:colOff>
      <xdr:row>8</xdr:row>
      <xdr:rowOff>667</xdr:rowOff>
    </xdr:to>
    <xdr:grpSp>
      <xdr:nvGrpSpPr>
        <xdr:cNvPr id="122" name="グループ化 121"/>
        <xdr:cNvGrpSpPr/>
      </xdr:nvGrpSpPr>
      <xdr:grpSpPr>
        <a:xfrm>
          <a:off x="8226648" y="1026785"/>
          <a:ext cx="188659" cy="164507"/>
          <a:chOff x="16092120" y="3783953"/>
          <a:chExt cx="188659" cy="165437"/>
        </a:xfrm>
      </xdr:grpSpPr>
      <xdr:sp macro="" textlink="">
        <xdr:nvSpPr>
          <xdr:cNvPr id="123" name="フリーフォーム 122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24" name="正方形/長方形 123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29</xdr:col>
      <xdr:colOff>187548</xdr:colOff>
      <xdr:row>10</xdr:row>
      <xdr:rowOff>140960</xdr:rowOff>
    </xdr:from>
    <xdr:to>
      <xdr:col>29</xdr:col>
      <xdr:colOff>376207</xdr:colOff>
      <xdr:row>12</xdr:row>
      <xdr:rowOff>667</xdr:rowOff>
    </xdr:to>
    <xdr:grpSp>
      <xdr:nvGrpSpPr>
        <xdr:cNvPr id="125" name="グループ化 124"/>
        <xdr:cNvGrpSpPr/>
      </xdr:nvGrpSpPr>
      <xdr:grpSpPr>
        <a:xfrm>
          <a:off x="8226648" y="1636385"/>
          <a:ext cx="188659" cy="164507"/>
          <a:chOff x="16092120" y="3783953"/>
          <a:chExt cx="188659" cy="165437"/>
        </a:xfrm>
      </xdr:grpSpPr>
      <xdr:sp macro="" textlink="">
        <xdr:nvSpPr>
          <xdr:cNvPr id="126" name="フリーフォーム 125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27" name="正方形/長方形 126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30</xdr:col>
      <xdr:colOff>412576</xdr:colOff>
      <xdr:row>8</xdr:row>
      <xdr:rowOff>140961</xdr:rowOff>
    </xdr:from>
    <xdr:to>
      <xdr:col>31</xdr:col>
      <xdr:colOff>105935</xdr:colOff>
      <xdr:row>10</xdr:row>
      <xdr:rowOff>667</xdr:rowOff>
    </xdr:to>
    <xdr:grpSp>
      <xdr:nvGrpSpPr>
        <xdr:cNvPr id="128" name="グループ化 127"/>
        <xdr:cNvGrpSpPr/>
      </xdr:nvGrpSpPr>
      <xdr:grpSpPr>
        <a:xfrm>
          <a:off x="8946976" y="1331586"/>
          <a:ext cx="188659" cy="164506"/>
          <a:chOff x="16092120" y="3783953"/>
          <a:chExt cx="188659" cy="165437"/>
        </a:xfrm>
      </xdr:grpSpPr>
      <xdr:sp macro="" textlink="">
        <xdr:nvSpPr>
          <xdr:cNvPr id="129" name="フリーフォーム 128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30" name="正方形/長方形 129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255984</xdr:colOff>
      <xdr:row>6</xdr:row>
      <xdr:rowOff>144678</xdr:rowOff>
    </xdr:from>
    <xdr:to>
      <xdr:col>27</xdr:col>
      <xdr:colOff>433576</xdr:colOff>
      <xdr:row>8</xdr:row>
      <xdr:rowOff>4242</xdr:rowOff>
    </xdr:to>
    <xdr:grpSp>
      <xdr:nvGrpSpPr>
        <xdr:cNvPr id="131" name="グループ化 130"/>
        <xdr:cNvGrpSpPr/>
      </xdr:nvGrpSpPr>
      <xdr:grpSpPr>
        <a:xfrm>
          <a:off x="7304484" y="1030503"/>
          <a:ext cx="177592" cy="164364"/>
          <a:chOff x="16996317" y="3628387"/>
          <a:chExt cx="177592" cy="167674"/>
        </a:xfrm>
      </xdr:grpSpPr>
      <xdr:sp macro="" textlink="">
        <xdr:nvSpPr>
          <xdr:cNvPr id="132" name="フリーフォーム 131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33" name="正方形/長方形 132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255984</xdr:colOff>
      <xdr:row>10</xdr:row>
      <xdr:rowOff>144678</xdr:rowOff>
    </xdr:from>
    <xdr:to>
      <xdr:col>27</xdr:col>
      <xdr:colOff>433576</xdr:colOff>
      <xdr:row>12</xdr:row>
      <xdr:rowOff>4242</xdr:rowOff>
    </xdr:to>
    <xdr:grpSp>
      <xdr:nvGrpSpPr>
        <xdr:cNvPr id="134" name="グループ化 133"/>
        <xdr:cNvGrpSpPr/>
      </xdr:nvGrpSpPr>
      <xdr:grpSpPr>
        <a:xfrm>
          <a:off x="7304484" y="1640103"/>
          <a:ext cx="177592" cy="164364"/>
          <a:chOff x="16996317" y="3628387"/>
          <a:chExt cx="177592" cy="167674"/>
        </a:xfrm>
      </xdr:grpSpPr>
      <xdr:sp macro="" textlink="">
        <xdr:nvSpPr>
          <xdr:cNvPr id="135" name="フリーフォーム 134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36" name="正方形/長方形 135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28</xdr:col>
      <xdr:colOff>475059</xdr:colOff>
      <xdr:row>8</xdr:row>
      <xdr:rowOff>144678</xdr:rowOff>
    </xdr:from>
    <xdr:to>
      <xdr:col>29</xdr:col>
      <xdr:colOff>157351</xdr:colOff>
      <xdr:row>10</xdr:row>
      <xdr:rowOff>4241</xdr:rowOff>
    </xdr:to>
    <xdr:grpSp>
      <xdr:nvGrpSpPr>
        <xdr:cNvPr id="137" name="グループ化 136"/>
        <xdr:cNvGrpSpPr/>
      </xdr:nvGrpSpPr>
      <xdr:grpSpPr>
        <a:xfrm>
          <a:off x="8018859" y="1335303"/>
          <a:ext cx="177592" cy="164363"/>
          <a:chOff x="16996317" y="3628387"/>
          <a:chExt cx="177592" cy="167674"/>
        </a:xfrm>
      </xdr:grpSpPr>
      <xdr:sp macro="" textlink="">
        <xdr:nvSpPr>
          <xdr:cNvPr id="138" name="フリーフォーム 137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39" name="正方形/長方形 138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26</xdr:col>
      <xdr:colOff>36909</xdr:colOff>
      <xdr:row>8</xdr:row>
      <xdr:rowOff>144678</xdr:rowOff>
    </xdr:from>
    <xdr:to>
      <xdr:col>26</xdr:col>
      <xdr:colOff>214501</xdr:colOff>
      <xdr:row>10</xdr:row>
      <xdr:rowOff>4241</xdr:rowOff>
    </xdr:to>
    <xdr:grpSp>
      <xdr:nvGrpSpPr>
        <xdr:cNvPr id="140" name="グループ化 139"/>
        <xdr:cNvGrpSpPr/>
      </xdr:nvGrpSpPr>
      <xdr:grpSpPr>
        <a:xfrm>
          <a:off x="6590109" y="1335303"/>
          <a:ext cx="177592" cy="164363"/>
          <a:chOff x="16996317" y="3628387"/>
          <a:chExt cx="177592" cy="167674"/>
        </a:xfrm>
      </xdr:grpSpPr>
      <xdr:sp macro="" textlink="">
        <xdr:nvSpPr>
          <xdr:cNvPr id="141" name="フリーフォーム 140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42" name="正方形/長方形 141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19</xdr:row>
      <xdr:rowOff>19050</xdr:rowOff>
    </xdr:from>
    <xdr:to>
      <xdr:col>23</xdr:col>
      <xdr:colOff>38100</xdr:colOff>
      <xdr:row>49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28575</xdr:colOff>
      <xdr:row>17</xdr:row>
      <xdr:rowOff>28575</xdr:rowOff>
    </xdr:from>
    <xdr:to>
      <xdr:col>34</xdr:col>
      <xdr:colOff>28575</xdr:colOff>
      <xdr:row>47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255240</xdr:colOff>
      <xdr:row>3</xdr:row>
      <xdr:rowOff>113083</xdr:rowOff>
    </xdr:from>
    <xdr:to>
      <xdr:col>26</xdr:col>
      <xdr:colOff>362079</xdr:colOff>
      <xdr:row>5</xdr:row>
      <xdr:rowOff>11645</xdr:rowOff>
    </xdr:to>
    <xdr:grpSp>
      <xdr:nvGrpSpPr>
        <xdr:cNvPr id="20" name="グループ化 19"/>
        <xdr:cNvGrpSpPr/>
      </xdr:nvGrpSpPr>
      <xdr:grpSpPr>
        <a:xfrm>
          <a:off x="7551390" y="541708"/>
          <a:ext cx="106839" cy="203362"/>
          <a:chOff x="16230059" y="2859913"/>
          <a:chExt cx="108000" cy="206672"/>
        </a:xfrm>
      </xdr:grpSpPr>
      <xdr:cxnSp macro="">
        <xdr:nvCxnSpPr>
          <xdr:cNvPr id="21" name="直線矢印コネクタ 20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正方形/長方形 21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22</xdr:col>
      <xdr:colOff>427047</xdr:colOff>
      <xdr:row>8</xdr:row>
      <xdr:rowOff>75071</xdr:rowOff>
    </xdr:from>
    <xdr:to>
      <xdr:col>23</xdr:col>
      <xdr:colOff>185708</xdr:colOff>
      <xdr:row>9</xdr:row>
      <xdr:rowOff>27360</xdr:rowOff>
    </xdr:to>
    <xdr:grpSp>
      <xdr:nvGrpSpPr>
        <xdr:cNvPr id="23" name="グループ化 22"/>
        <xdr:cNvGrpSpPr/>
      </xdr:nvGrpSpPr>
      <xdr:grpSpPr>
        <a:xfrm>
          <a:off x="5837247" y="1265696"/>
          <a:ext cx="206336" cy="104689"/>
          <a:chOff x="16074444" y="3171421"/>
          <a:chExt cx="206336" cy="105619"/>
        </a:xfrm>
      </xdr:grpSpPr>
      <xdr:cxnSp macro="">
        <xdr:nvCxnSpPr>
          <xdr:cNvPr id="24" name="直線矢印コネクタ 23"/>
          <xdr:cNvCxnSpPr/>
        </xdr:nvCxnSpPr>
        <xdr:spPr>
          <a:xfrm>
            <a:off x="16127451" y="3219915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正方形/長方形 24"/>
          <xdr:cNvSpPr/>
        </xdr:nvSpPr>
        <xdr:spPr>
          <a:xfrm>
            <a:off x="16074444" y="3171421"/>
            <a:ext cx="108000" cy="10561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24</xdr:col>
      <xdr:colOff>254602</xdr:colOff>
      <xdr:row>6</xdr:row>
      <xdr:rowOff>19982</xdr:rowOff>
    </xdr:from>
    <xdr:to>
      <xdr:col>24</xdr:col>
      <xdr:colOff>458361</xdr:colOff>
      <xdr:row>6</xdr:row>
      <xdr:rowOff>127982</xdr:rowOff>
    </xdr:to>
    <xdr:grpSp>
      <xdr:nvGrpSpPr>
        <xdr:cNvPr id="26" name="グループ化 25"/>
        <xdr:cNvGrpSpPr/>
      </xdr:nvGrpSpPr>
      <xdr:grpSpPr>
        <a:xfrm>
          <a:off x="6560152" y="905807"/>
          <a:ext cx="203759" cy="108000"/>
          <a:chOff x="16077021" y="3323239"/>
          <a:chExt cx="203759" cy="106548"/>
        </a:xfrm>
      </xdr:grpSpPr>
      <xdr:cxnSp macro="">
        <xdr:nvCxnSpPr>
          <xdr:cNvPr id="27" name="直線矢印コネクタ 26"/>
          <xdr:cNvCxnSpPr/>
        </xdr:nvCxnSpPr>
        <xdr:spPr>
          <a:xfrm>
            <a:off x="16127451" y="3373244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正方形/長方形 27"/>
          <xdr:cNvSpPr/>
        </xdr:nvSpPr>
        <xdr:spPr>
          <a:xfrm>
            <a:off x="16077021" y="3323239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D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193501</xdr:colOff>
      <xdr:row>2</xdr:row>
      <xdr:rowOff>123101</xdr:rowOff>
    </xdr:from>
    <xdr:to>
      <xdr:col>27</xdr:col>
      <xdr:colOff>382160</xdr:colOff>
      <xdr:row>3</xdr:row>
      <xdr:rowOff>135208</xdr:rowOff>
    </xdr:to>
    <xdr:grpSp>
      <xdr:nvGrpSpPr>
        <xdr:cNvPr id="29" name="グループ化 28"/>
        <xdr:cNvGrpSpPr/>
      </xdr:nvGrpSpPr>
      <xdr:grpSpPr>
        <a:xfrm>
          <a:off x="7984951" y="399326"/>
          <a:ext cx="188659" cy="164507"/>
          <a:chOff x="16092120" y="3783953"/>
          <a:chExt cx="188659" cy="165437"/>
        </a:xfrm>
      </xdr:grpSpPr>
      <xdr:sp macro="" textlink="">
        <xdr:nvSpPr>
          <xdr:cNvPr id="30" name="フリーフォーム 29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31" name="正方形/長方形 30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25</xdr:col>
      <xdr:colOff>238125</xdr:colOff>
      <xdr:row>2</xdr:row>
      <xdr:rowOff>120864</xdr:rowOff>
    </xdr:from>
    <xdr:to>
      <xdr:col>25</xdr:col>
      <xdr:colOff>415717</xdr:colOff>
      <xdr:row>3</xdr:row>
      <xdr:rowOff>135209</xdr:rowOff>
    </xdr:to>
    <xdr:grpSp>
      <xdr:nvGrpSpPr>
        <xdr:cNvPr id="32" name="グループ化 31"/>
        <xdr:cNvGrpSpPr/>
      </xdr:nvGrpSpPr>
      <xdr:grpSpPr>
        <a:xfrm>
          <a:off x="7038975" y="397089"/>
          <a:ext cx="177592" cy="166745"/>
          <a:chOff x="16996317" y="3628387"/>
          <a:chExt cx="177592" cy="167674"/>
        </a:xfrm>
      </xdr:grpSpPr>
      <xdr:sp macro="" textlink="">
        <xdr:nvSpPr>
          <xdr:cNvPr id="33" name="フリーフォーム 32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34" name="正方形/長方形 33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30</xdr:col>
      <xdr:colOff>157511</xdr:colOff>
      <xdr:row>10</xdr:row>
      <xdr:rowOff>19978</xdr:rowOff>
    </xdr:from>
    <xdr:to>
      <xdr:col>30</xdr:col>
      <xdr:colOff>314347</xdr:colOff>
      <xdr:row>11</xdr:row>
      <xdr:rowOff>19051</xdr:rowOff>
    </xdr:to>
    <xdr:sp macro="" textlink="">
      <xdr:nvSpPr>
        <xdr:cNvPr id="35" name="フリーフォーム 34"/>
        <xdr:cNvSpPr/>
      </xdr:nvSpPr>
      <xdr:spPr>
        <a:xfrm flipH="1">
          <a:off x="9434861" y="1515403"/>
          <a:ext cx="156836" cy="151473"/>
        </a:xfrm>
        <a:custGeom>
          <a:avLst/>
          <a:gdLst>
            <a:gd name="connsiteX0" fmla="*/ 0 w 809625"/>
            <a:gd name="connsiteY0" fmla="*/ 66675 h 247650"/>
            <a:gd name="connsiteX1" fmla="*/ 723900 w 809625"/>
            <a:gd name="connsiteY1" fmla="*/ 0 h 247650"/>
            <a:gd name="connsiteX2" fmla="*/ 809625 w 809625"/>
            <a:gd name="connsiteY2" fmla="*/ 247650 h 247650"/>
            <a:gd name="connsiteX0" fmla="*/ 0 w 828675"/>
            <a:gd name="connsiteY0" fmla="*/ 47625 h 247650"/>
            <a:gd name="connsiteX1" fmla="*/ 742950 w 828675"/>
            <a:gd name="connsiteY1" fmla="*/ 0 h 247650"/>
            <a:gd name="connsiteX2" fmla="*/ 828675 w 828675"/>
            <a:gd name="connsiteY2" fmla="*/ 247650 h 247650"/>
            <a:gd name="connsiteX0" fmla="*/ 0 w 828675"/>
            <a:gd name="connsiteY0" fmla="*/ 0 h 200025"/>
            <a:gd name="connsiteX1" fmla="*/ 714375 w 828675"/>
            <a:gd name="connsiteY1" fmla="*/ 0 h 200025"/>
            <a:gd name="connsiteX2" fmla="*/ 828675 w 828675"/>
            <a:gd name="connsiteY2" fmla="*/ 200025 h 200025"/>
            <a:gd name="connsiteX0" fmla="*/ 0 w 714375"/>
            <a:gd name="connsiteY0" fmla="*/ 0 h 152400"/>
            <a:gd name="connsiteX1" fmla="*/ 714375 w 714375"/>
            <a:gd name="connsiteY1" fmla="*/ 0 h 152400"/>
            <a:gd name="connsiteX2" fmla="*/ 714375 w 714375"/>
            <a:gd name="connsiteY2" fmla="*/ 152400 h 152400"/>
            <a:gd name="connsiteX0" fmla="*/ 0 w 913844"/>
            <a:gd name="connsiteY0" fmla="*/ 0 h 4618"/>
            <a:gd name="connsiteX1" fmla="*/ 714375 w 913844"/>
            <a:gd name="connsiteY1" fmla="*/ 0 h 4618"/>
            <a:gd name="connsiteX2" fmla="*/ 913844 w 913844"/>
            <a:gd name="connsiteY2" fmla="*/ 4618 h 4618"/>
            <a:gd name="connsiteX0" fmla="*/ 0 w 2183"/>
            <a:gd name="connsiteY0" fmla="*/ 0 h 340024"/>
            <a:gd name="connsiteX1" fmla="*/ 0 w 2183"/>
            <a:gd name="connsiteY1" fmla="*/ 330024 h 340024"/>
            <a:gd name="connsiteX2" fmla="*/ 2183 w 2183"/>
            <a:gd name="connsiteY2" fmla="*/ 340024 h 340024"/>
            <a:gd name="connsiteX0" fmla="*/ 0 w 9535"/>
            <a:gd name="connsiteY0" fmla="*/ 0 h 9706"/>
            <a:gd name="connsiteX1" fmla="*/ 0 w 9535"/>
            <a:gd name="connsiteY1" fmla="*/ 9706 h 9706"/>
            <a:gd name="connsiteX2" fmla="*/ 9535 w 9535"/>
            <a:gd name="connsiteY2" fmla="*/ 9412 h 9706"/>
            <a:gd name="connsiteX0" fmla="*/ 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9697 h 10000"/>
            <a:gd name="connsiteX0" fmla="*/ 0 w 31217"/>
            <a:gd name="connsiteY0" fmla="*/ 0 h 10000"/>
            <a:gd name="connsiteX1" fmla="*/ 0 w 31217"/>
            <a:gd name="connsiteY1" fmla="*/ 10000 h 10000"/>
            <a:gd name="connsiteX2" fmla="*/ 31217 w 31217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217" h="10000">
              <a:moveTo>
                <a:pt x="0" y="0"/>
              </a:moveTo>
              <a:lnTo>
                <a:pt x="0" y="10000"/>
              </a:lnTo>
              <a:lnTo>
                <a:pt x="31217" y="10000"/>
              </a:lnTo>
            </a:path>
          </a:pathLst>
        </a:custGeom>
        <a:ln>
          <a:solidFill>
            <a:schemeClr val="bg1">
              <a:lumMod val="65000"/>
            </a:schemeClr>
          </a:solidFill>
          <a:headEnd type="none" w="med" len="med"/>
          <a:tailEnd type="arrow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148111</xdr:colOff>
      <xdr:row>9</xdr:row>
      <xdr:rowOff>122084</xdr:rowOff>
    </xdr:from>
    <xdr:to>
      <xdr:col>22</xdr:col>
      <xdr:colOff>361950</xdr:colOff>
      <xdr:row>10</xdr:row>
      <xdr:rowOff>126207</xdr:rowOff>
    </xdr:to>
    <xdr:grpSp>
      <xdr:nvGrpSpPr>
        <xdr:cNvPr id="36" name="グループ化 35"/>
        <xdr:cNvGrpSpPr/>
      </xdr:nvGrpSpPr>
      <xdr:grpSpPr>
        <a:xfrm>
          <a:off x="5558311" y="1465109"/>
          <a:ext cx="213839" cy="156523"/>
          <a:chOff x="16781316" y="3061533"/>
          <a:chExt cx="215001" cy="158382"/>
        </a:xfrm>
      </xdr:grpSpPr>
      <xdr:sp macro="" textlink="">
        <xdr:nvSpPr>
          <xdr:cNvPr id="37" name="フリーフォーム 36"/>
          <xdr:cNvSpPr/>
        </xdr:nvSpPr>
        <xdr:spPr>
          <a:xfrm>
            <a:off x="16838319" y="3066584"/>
            <a:ext cx="157998" cy="153331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  <a:gd name="connsiteX0" fmla="*/ 0 w 913844"/>
              <a:gd name="connsiteY0" fmla="*/ 0 h 4618"/>
              <a:gd name="connsiteX1" fmla="*/ 714375 w 913844"/>
              <a:gd name="connsiteY1" fmla="*/ 0 h 4618"/>
              <a:gd name="connsiteX2" fmla="*/ 913844 w 913844"/>
              <a:gd name="connsiteY2" fmla="*/ 4618 h 4618"/>
              <a:gd name="connsiteX0" fmla="*/ 0 w 2183"/>
              <a:gd name="connsiteY0" fmla="*/ 0 h 340024"/>
              <a:gd name="connsiteX1" fmla="*/ 0 w 2183"/>
              <a:gd name="connsiteY1" fmla="*/ 330024 h 340024"/>
              <a:gd name="connsiteX2" fmla="*/ 2183 w 2183"/>
              <a:gd name="connsiteY2" fmla="*/ 340024 h 340024"/>
              <a:gd name="connsiteX0" fmla="*/ 0 w 9535"/>
              <a:gd name="connsiteY0" fmla="*/ 0 h 9706"/>
              <a:gd name="connsiteX1" fmla="*/ 0 w 9535"/>
              <a:gd name="connsiteY1" fmla="*/ 9706 h 9706"/>
              <a:gd name="connsiteX2" fmla="*/ 9535 w 9535"/>
              <a:gd name="connsiteY2" fmla="*/ 9412 h 9706"/>
              <a:gd name="connsiteX0" fmla="*/ 0 w 10000"/>
              <a:gd name="connsiteY0" fmla="*/ 0 h 10000"/>
              <a:gd name="connsiteX1" fmla="*/ 0 w 10000"/>
              <a:gd name="connsiteY1" fmla="*/ 10000 h 10000"/>
              <a:gd name="connsiteX2" fmla="*/ 10000 w 10000"/>
              <a:gd name="connsiteY2" fmla="*/ 9697 h 10000"/>
              <a:gd name="connsiteX0" fmla="*/ 0 w 31217"/>
              <a:gd name="connsiteY0" fmla="*/ 0 h 10000"/>
              <a:gd name="connsiteX1" fmla="*/ 0 w 31217"/>
              <a:gd name="connsiteY1" fmla="*/ 10000 h 10000"/>
              <a:gd name="connsiteX2" fmla="*/ 31217 w 3121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217" h="10000">
                <a:moveTo>
                  <a:pt x="0" y="0"/>
                </a:moveTo>
                <a:lnTo>
                  <a:pt x="0" y="10000"/>
                </a:lnTo>
                <a:lnTo>
                  <a:pt x="31217" y="100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38" name="正方形/長方形 37"/>
          <xdr:cNvSpPr/>
        </xdr:nvSpPr>
        <xdr:spPr>
          <a:xfrm>
            <a:off x="16781316" y="3061533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26</xdr:col>
      <xdr:colOff>255240</xdr:colOff>
      <xdr:row>7</xdr:row>
      <xdr:rowOff>113084</xdr:rowOff>
    </xdr:from>
    <xdr:to>
      <xdr:col>26</xdr:col>
      <xdr:colOff>362079</xdr:colOff>
      <xdr:row>9</xdr:row>
      <xdr:rowOff>11646</xdr:rowOff>
    </xdr:to>
    <xdr:grpSp>
      <xdr:nvGrpSpPr>
        <xdr:cNvPr id="39" name="グループ化 38"/>
        <xdr:cNvGrpSpPr/>
      </xdr:nvGrpSpPr>
      <xdr:grpSpPr>
        <a:xfrm>
          <a:off x="7551390" y="1151309"/>
          <a:ext cx="106839" cy="203362"/>
          <a:chOff x="16230059" y="2859913"/>
          <a:chExt cx="108000" cy="206672"/>
        </a:xfrm>
      </xdr:grpSpPr>
      <xdr:cxnSp macro="">
        <xdr:nvCxnSpPr>
          <xdr:cNvPr id="40" name="直線矢印コネクタ 39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正方形/長方形 40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26</xdr:col>
      <xdr:colOff>261193</xdr:colOff>
      <xdr:row>11</xdr:row>
      <xdr:rowOff>113083</xdr:rowOff>
    </xdr:from>
    <xdr:to>
      <xdr:col>26</xdr:col>
      <xdr:colOff>368032</xdr:colOff>
      <xdr:row>13</xdr:row>
      <xdr:rowOff>11645</xdr:rowOff>
    </xdr:to>
    <xdr:grpSp>
      <xdr:nvGrpSpPr>
        <xdr:cNvPr id="42" name="グループ化 41"/>
        <xdr:cNvGrpSpPr/>
      </xdr:nvGrpSpPr>
      <xdr:grpSpPr>
        <a:xfrm>
          <a:off x="7557343" y="1760908"/>
          <a:ext cx="106839" cy="203362"/>
          <a:chOff x="16230059" y="2859913"/>
          <a:chExt cx="108000" cy="206672"/>
        </a:xfrm>
      </xdr:grpSpPr>
      <xdr:cxnSp macro="">
        <xdr:nvCxnSpPr>
          <xdr:cNvPr id="43" name="直線矢印コネクタ 42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4" name="正方形/長方形 43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25</xdr:col>
      <xdr:colOff>45690</xdr:colOff>
      <xdr:row>5</xdr:row>
      <xdr:rowOff>119035</xdr:rowOff>
    </xdr:from>
    <xdr:to>
      <xdr:col>25</xdr:col>
      <xdr:colOff>152529</xdr:colOff>
      <xdr:row>7</xdr:row>
      <xdr:rowOff>17597</xdr:rowOff>
    </xdr:to>
    <xdr:grpSp>
      <xdr:nvGrpSpPr>
        <xdr:cNvPr id="45" name="グループ化 44"/>
        <xdr:cNvGrpSpPr/>
      </xdr:nvGrpSpPr>
      <xdr:grpSpPr>
        <a:xfrm>
          <a:off x="6846540" y="852460"/>
          <a:ext cx="106839" cy="203362"/>
          <a:chOff x="16230059" y="2859913"/>
          <a:chExt cx="108000" cy="206672"/>
        </a:xfrm>
      </xdr:grpSpPr>
      <xdr:cxnSp macro="">
        <xdr:nvCxnSpPr>
          <xdr:cNvPr id="46" name="直線矢印コネクタ 45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7" name="正方形/長方形 46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25</xdr:col>
      <xdr:colOff>45690</xdr:colOff>
      <xdr:row>9</xdr:row>
      <xdr:rowOff>113083</xdr:rowOff>
    </xdr:from>
    <xdr:to>
      <xdr:col>25</xdr:col>
      <xdr:colOff>152529</xdr:colOff>
      <xdr:row>11</xdr:row>
      <xdr:rowOff>11645</xdr:rowOff>
    </xdr:to>
    <xdr:grpSp>
      <xdr:nvGrpSpPr>
        <xdr:cNvPr id="48" name="グループ化 47"/>
        <xdr:cNvGrpSpPr/>
      </xdr:nvGrpSpPr>
      <xdr:grpSpPr>
        <a:xfrm>
          <a:off x="6846540" y="1456108"/>
          <a:ext cx="106839" cy="203362"/>
          <a:chOff x="16230059" y="2859913"/>
          <a:chExt cx="108000" cy="206672"/>
        </a:xfrm>
      </xdr:grpSpPr>
      <xdr:cxnSp macro="">
        <xdr:nvCxnSpPr>
          <xdr:cNvPr id="49" name="直線矢印コネクタ 48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0" name="正方形/長方形 49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23</xdr:col>
      <xdr:colOff>274290</xdr:colOff>
      <xdr:row>7</xdr:row>
      <xdr:rowOff>119036</xdr:rowOff>
    </xdr:from>
    <xdr:to>
      <xdr:col>23</xdr:col>
      <xdr:colOff>381129</xdr:colOff>
      <xdr:row>9</xdr:row>
      <xdr:rowOff>17598</xdr:rowOff>
    </xdr:to>
    <xdr:grpSp>
      <xdr:nvGrpSpPr>
        <xdr:cNvPr id="51" name="グループ化 50"/>
        <xdr:cNvGrpSpPr/>
      </xdr:nvGrpSpPr>
      <xdr:grpSpPr>
        <a:xfrm>
          <a:off x="6132165" y="1157261"/>
          <a:ext cx="106839" cy="203362"/>
          <a:chOff x="16230059" y="2859913"/>
          <a:chExt cx="108000" cy="206672"/>
        </a:xfrm>
      </xdr:grpSpPr>
      <xdr:cxnSp macro="">
        <xdr:nvCxnSpPr>
          <xdr:cNvPr id="52" name="直線矢印コネクタ 51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3" name="正方形/長方形 52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29</xdr:col>
      <xdr:colOff>198090</xdr:colOff>
      <xdr:row>7</xdr:row>
      <xdr:rowOff>113082</xdr:rowOff>
    </xdr:from>
    <xdr:to>
      <xdr:col>29</xdr:col>
      <xdr:colOff>304929</xdr:colOff>
      <xdr:row>9</xdr:row>
      <xdr:rowOff>11644</xdr:rowOff>
    </xdr:to>
    <xdr:grpSp>
      <xdr:nvGrpSpPr>
        <xdr:cNvPr id="54" name="グループ化 53"/>
        <xdr:cNvGrpSpPr/>
      </xdr:nvGrpSpPr>
      <xdr:grpSpPr>
        <a:xfrm>
          <a:off x="8980140" y="1151307"/>
          <a:ext cx="106839" cy="203362"/>
          <a:chOff x="16230059" y="2859913"/>
          <a:chExt cx="108000" cy="206672"/>
        </a:xfrm>
      </xdr:grpSpPr>
      <xdr:cxnSp macro="">
        <xdr:nvCxnSpPr>
          <xdr:cNvPr id="55" name="直線矢印コネクタ 54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" name="正方形/長方形 55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474315</xdr:colOff>
      <xdr:row>5</xdr:row>
      <xdr:rowOff>113083</xdr:rowOff>
    </xdr:from>
    <xdr:to>
      <xdr:col>28</xdr:col>
      <xdr:colOff>85854</xdr:colOff>
      <xdr:row>7</xdr:row>
      <xdr:rowOff>11645</xdr:rowOff>
    </xdr:to>
    <xdr:grpSp>
      <xdr:nvGrpSpPr>
        <xdr:cNvPr id="57" name="グループ化 56"/>
        <xdr:cNvGrpSpPr/>
      </xdr:nvGrpSpPr>
      <xdr:grpSpPr>
        <a:xfrm>
          <a:off x="8265765" y="846508"/>
          <a:ext cx="106839" cy="203362"/>
          <a:chOff x="16230059" y="2859913"/>
          <a:chExt cx="108000" cy="206672"/>
        </a:xfrm>
      </xdr:grpSpPr>
      <xdr:cxnSp macro="">
        <xdr:nvCxnSpPr>
          <xdr:cNvPr id="58" name="直線矢印コネクタ 57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9" name="正方形/長方形 58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474315</xdr:colOff>
      <xdr:row>9</xdr:row>
      <xdr:rowOff>119035</xdr:rowOff>
    </xdr:from>
    <xdr:to>
      <xdr:col>28</xdr:col>
      <xdr:colOff>85854</xdr:colOff>
      <xdr:row>11</xdr:row>
      <xdr:rowOff>17597</xdr:rowOff>
    </xdr:to>
    <xdr:grpSp>
      <xdr:nvGrpSpPr>
        <xdr:cNvPr id="60" name="グループ化 59"/>
        <xdr:cNvGrpSpPr/>
      </xdr:nvGrpSpPr>
      <xdr:grpSpPr>
        <a:xfrm>
          <a:off x="8265765" y="1462060"/>
          <a:ext cx="106839" cy="203362"/>
          <a:chOff x="16230059" y="2859913"/>
          <a:chExt cx="108000" cy="206672"/>
        </a:xfrm>
      </xdr:grpSpPr>
      <xdr:cxnSp macro="">
        <xdr:nvCxnSpPr>
          <xdr:cNvPr id="61" name="直線矢印コネクタ 60"/>
          <xdr:cNvCxnSpPr/>
        </xdr:nvCxnSpPr>
        <xdr:spPr>
          <a:xfrm>
            <a:off x="16280780" y="2913256"/>
            <a:ext cx="0" cy="153329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2" name="正方形/長方形 61"/>
          <xdr:cNvSpPr/>
        </xdr:nvSpPr>
        <xdr:spPr>
          <a:xfrm>
            <a:off x="16230059" y="285991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23</xdr:col>
      <xdr:colOff>424336</xdr:colOff>
      <xdr:row>11</xdr:row>
      <xdr:rowOff>122084</xdr:rowOff>
    </xdr:from>
    <xdr:to>
      <xdr:col>24</xdr:col>
      <xdr:colOff>190500</xdr:colOff>
      <xdr:row>12</xdr:row>
      <xdr:rowOff>126208</xdr:rowOff>
    </xdr:to>
    <xdr:grpSp>
      <xdr:nvGrpSpPr>
        <xdr:cNvPr id="63" name="グループ化 62"/>
        <xdr:cNvGrpSpPr/>
      </xdr:nvGrpSpPr>
      <xdr:grpSpPr>
        <a:xfrm>
          <a:off x="6282211" y="1769909"/>
          <a:ext cx="213839" cy="156524"/>
          <a:chOff x="16781316" y="3061533"/>
          <a:chExt cx="215001" cy="158382"/>
        </a:xfrm>
      </xdr:grpSpPr>
      <xdr:sp macro="" textlink="">
        <xdr:nvSpPr>
          <xdr:cNvPr id="64" name="フリーフォーム 63"/>
          <xdr:cNvSpPr/>
        </xdr:nvSpPr>
        <xdr:spPr>
          <a:xfrm>
            <a:off x="16838319" y="3066584"/>
            <a:ext cx="157998" cy="153331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  <a:gd name="connsiteX0" fmla="*/ 0 w 913844"/>
              <a:gd name="connsiteY0" fmla="*/ 0 h 4618"/>
              <a:gd name="connsiteX1" fmla="*/ 714375 w 913844"/>
              <a:gd name="connsiteY1" fmla="*/ 0 h 4618"/>
              <a:gd name="connsiteX2" fmla="*/ 913844 w 913844"/>
              <a:gd name="connsiteY2" fmla="*/ 4618 h 4618"/>
              <a:gd name="connsiteX0" fmla="*/ 0 w 2183"/>
              <a:gd name="connsiteY0" fmla="*/ 0 h 340024"/>
              <a:gd name="connsiteX1" fmla="*/ 0 w 2183"/>
              <a:gd name="connsiteY1" fmla="*/ 330024 h 340024"/>
              <a:gd name="connsiteX2" fmla="*/ 2183 w 2183"/>
              <a:gd name="connsiteY2" fmla="*/ 340024 h 340024"/>
              <a:gd name="connsiteX0" fmla="*/ 0 w 9535"/>
              <a:gd name="connsiteY0" fmla="*/ 0 h 9706"/>
              <a:gd name="connsiteX1" fmla="*/ 0 w 9535"/>
              <a:gd name="connsiteY1" fmla="*/ 9706 h 9706"/>
              <a:gd name="connsiteX2" fmla="*/ 9535 w 9535"/>
              <a:gd name="connsiteY2" fmla="*/ 9412 h 9706"/>
              <a:gd name="connsiteX0" fmla="*/ 0 w 10000"/>
              <a:gd name="connsiteY0" fmla="*/ 0 h 10000"/>
              <a:gd name="connsiteX1" fmla="*/ 0 w 10000"/>
              <a:gd name="connsiteY1" fmla="*/ 10000 h 10000"/>
              <a:gd name="connsiteX2" fmla="*/ 10000 w 10000"/>
              <a:gd name="connsiteY2" fmla="*/ 9697 h 10000"/>
              <a:gd name="connsiteX0" fmla="*/ 0 w 31217"/>
              <a:gd name="connsiteY0" fmla="*/ 0 h 10000"/>
              <a:gd name="connsiteX1" fmla="*/ 0 w 31217"/>
              <a:gd name="connsiteY1" fmla="*/ 10000 h 10000"/>
              <a:gd name="connsiteX2" fmla="*/ 31217 w 3121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217" h="10000">
                <a:moveTo>
                  <a:pt x="0" y="0"/>
                </a:moveTo>
                <a:lnTo>
                  <a:pt x="0" y="10000"/>
                </a:lnTo>
                <a:lnTo>
                  <a:pt x="31217" y="100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65" name="正方形/長方形 64"/>
          <xdr:cNvSpPr/>
        </xdr:nvSpPr>
        <xdr:spPr>
          <a:xfrm>
            <a:off x="16781316" y="3061533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25</xdr:col>
      <xdr:colOff>176686</xdr:colOff>
      <xdr:row>13</xdr:row>
      <xdr:rowOff>122084</xdr:rowOff>
    </xdr:from>
    <xdr:to>
      <xdr:col>25</xdr:col>
      <xdr:colOff>390525</xdr:colOff>
      <xdr:row>14</xdr:row>
      <xdr:rowOff>126207</xdr:rowOff>
    </xdr:to>
    <xdr:grpSp>
      <xdr:nvGrpSpPr>
        <xdr:cNvPr id="66" name="グループ化 65"/>
        <xdr:cNvGrpSpPr/>
      </xdr:nvGrpSpPr>
      <xdr:grpSpPr>
        <a:xfrm>
          <a:off x="6977536" y="2074709"/>
          <a:ext cx="213839" cy="156523"/>
          <a:chOff x="16781316" y="3061533"/>
          <a:chExt cx="215001" cy="158382"/>
        </a:xfrm>
      </xdr:grpSpPr>
      <xdr:sp macro="" textlink="">
        <xdr:nvSpPr>
          <xdr:cNvPr id="67" name="フリーフォーム 66"/>
          <xdr:cNvSpPr/>
        </xdr:nvSpPr>
        <xdr:spPr>
          <a:xfrm>
            <a:off x="16838319" y="3066584"/>
            <a:ext cx="157998" cy="153331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  <a:gd name="connsiteX0" fmla="*/ 0 w 913844"/>
              <a:gd name="connsiteY0" fmla="*/ 0 h 4618"/>
              <a:gd name="connsiteX1" fmla="*/ 714375 w 913844"/>
              <a:gd name="connsiteY1" fmla="*/ 0 h 4618"/>
              <a:gd name="connsiteX2" fmla="*/ 913844 w 913844"/>
              <a:gd name="connsiteY2" fmla="*/ 4618 h 4618"/>
              <a:gd name="connsiteX0" fmla="*/ 0 w 2183"/>
              <a:gd name="connsiteY0" fmla="*/ 0 h 340024"/>
              <a:gd name="connsiteX1" fmla="*/ 0 w 2183"/>
              <a:gd name="connsiteY1" fmla="*/ 330024 h 340024"/>
              <a:gd name="connsiteX2" fmla="*/ 2183 w 2183"/>
              <a:gd name="connsiteY2" fmla="*/ 340024 h 340024"/>
              <a:gd name="connsiteX0" fmla="*/ 0 w 9535"/>
              <a:gd name="connsiteY0" fmla="*/ 0 h 9706"/>
              <a:gd name="connsiteX1" fmla="*/ 0 w 9535"/>
              <a:gd name="connsiteY1" fmla="*/ 9706 h 9706"/>
              <a:gd name="connsiteX2" fmla="*/ 9535 w 9535"/>
              <a:gd name="connsiteY2" fmla="*/ 9412 h 9706"/>
              <a:gd name="connsiteX0" fmla="*/ 0 w 10000"/>
              <a:gd name="connsiteY0" fmla="*/ 0 h 10000"/>
              <a:gd name="connsiteX1" fmla="*/ 0 w 10000"/>
              <a:gd name="connsiteY1" fmla="*/ 10000 h 10000"/>
              <a:gd name="connsiteX2" fmla="*/ 10000 w 10000"/>
              <a:gd name="connsiteY2" fmla="*/ 9697 h 10000"/>
              <a:gd name="connsiteX0" fmla="*/ 0 w 31217"/>
              <a:gd name="connsiteY0" fmla="*/ 0 h 10000"/>
              <a:gd name="connsiteX1" fmla="*/ 0 w 31217"/>
              <a:gd name="connsiteY1" fmla="*/ 10000 h 10000"/>
              <a:gd name="connsiteX2" fmla="*/ 31217 w 31217"/>
              <a:gd name="connsiteY2" fmla="*/ 10000 h 100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31217" h="10000">
                <a:moveTo>
                  <a:pt x="0" y="0"/>
                </a:moveTo>
                <a:lnTo>
                  <a:pt x="0" y="10000"/>
                </a:lnTo>
                <a:lnTo>
                  <a:pt x="31217" y="100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68" name="正方形/長方形 67"/>
          <xdr:cNvSpPr/>
        </xdr:nvSpPr>
        <xdr:spPr>
          <a:xfrm>
            <a:off x="16781316" y="3061533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24</xdr:col>
      <xdr:colOff>28575</xdr:colOff>
      <xdr:row>4</xdr:row>
      <xdr:rowOff>120864</xdr:rowOff>
    </xdr:from>
    <xdr:to>
      <xdr:col>24</xdr:col>
      <xdr:colOff>206167</xdr:colOff>
      <xdr:row>5</xdr:row>
      <xdr:rowOff>135209</xdr:rowOff>
    </xdr:to>
    <xdr:grpSp>
      <xdr:nvGrpSpPr>
        <xdr:cNvPr id="69" name="グループ化 68"/>
        <xdr:cNvGrpSpPr/>
      </xdr:nvGrpSpPr>
      <xdr:grpSpPr>
        <a:xfrm>
          <a:off x="6334125" y="701889"/>
          <a:ext cx="177592" cy="166745"/>
          <a:chOff x="16996317" y="3628387"/>
          <a:chExt cx="177592" cy="167674"/>
        </a:xfrm>
      </xdr:grpSpPr>
      <xdr:sp macro="" textlink="">
        <xdr:nvSpPr>
          <xdr:cNvPr id="70" name="フリーフォーム 69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71" name="正方形/長方形 70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22</xdr:col>
      <xdr:colOff>200025</xdr:colOff>
      <xdr:row>6</xdr:row>
      <xdr:rowOff>130389</xdr:rowOff>
    </xdr:from>
    <xdr:to>
      <xdr:col>22</xdr:col>
      <xdr:colOff>377617</xdr:colOff>
      <xdr:row>7</xdr:row>
      <xdr:rowOff>144734</xdr:rowOff>
    </xdr:to>
    <xdr:grpSp>
      <xdr:nvGrpSpPr>
        <xdr:cNvPr id="72" name="グループ化 71"/>
        <xdr:cNvGrpSpPr/>
      </xdr:nvGrpSpPr>
      <xdr:grpSpPr>
        <a:xfrm>
          <a:off x="5610225" y="1016214"/>
          <a:ext cx="177592" cy="166745"/>
          <a:chOff x="16996317" y="3628387"/>
          <a:chExt cx="177592" cy="167674"/>
        </a:xfrm>
      </xdr:grpSpPr>
      <xdr:sp macro="" textlink="">
        <xdr:nvSpPr>
          <xdr:cNvPr id="73" name="フリーフォーム 72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74" name="正方形/長方形 73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28</xdr:col>
      <xdr:colOff>433736</xdr:colOff>
      <xdr:row>12</xdr:row>
      <xdr:rowOff>19978</xdr:rowOff>
    </xdr:from>
    <xdr:to>
      <xdr:col>29</xdr:col>
      <xdr:colOff>95272</xdr:colOff>
      <xdr:row>13</xdr:row>
      <xdr:rowOff>19051</xdr:rowOff>
    </xdr:to>
    <xdr:sp macro="" textlink="">
      <xdr:nvSpPr>
        <xdr:cNvPr id="75" name="フリーフォーム 74"/>
        <xdr:cNvSpPr/>
      </xdr:nvSpPr>
      <xdr:spPr>
        <a:xfrm flipH="1">
          <a:off x="8720486" y="1820203"/>
          <a:ext cx="156836" cy="151473"/>
        </a:xfrm>
        <a:custGeom>
          <a:avLst/>
          <a:gdLst>
            <a:gd name="connsiteX0" fmla="*/ 0 w 809625"/>
            <a:gd name="connsiteY0" fmla="*/ 66675 h 247650"/>
            <a:gd name="connsiteX1" fmla="*/ 723900 w 809625"/>
            <a:gd name="connsiteY1" fmla="*/ 0 h 247650"/>
            <a:gd name="connsiteX2" fmla="*/ 809625 w 809625"/>
            <a:gd name="connsiteY2" fmla="*/ 247650 h 247650"/>
            <a:gd name="connsiteX0" fmla="*/ 0 w 828675"/>
            <a:gd name="connsiteY0" fmla="*/ 47625 h 247650"/>
            <a:gd name="connsiteX1" fmla="*/ 742950 w 828675"/>
            <a:gd name="connsiteY1" fmla="*/ 0 h 247650"/>
            <a:gd name="connsiteX2" fmla="*/ 828675 w 828675"/>
            <a:gd name="connsiteY2" fmla="*/ 247650 h 247650"/>
            <a:gd name="connsiteX0" fmla="*/ 0 w 828675"/>
            <a:gd name="connsiteY0" fmla="*/ 0 h 200025"/>
            <a:gd name="connsiteX1" fmla="*/ 714375 w 828675"/>
            <a:gd name="connsiteY1" fmla="*/ 0 h 200025"/>
            <a:gd name="connsiteX2" fmla="*/ 828675 w 828675"/>
            <a:gd name="connsiteY2" fmla="*/ 200025 h 200025"/>
            <a:gd name="connsiteX0" fmla="*/ 0 w 714375"/>
            <a:gd name="connsiteY0" fmla="*/ 0 h 152400"/>
            <a:gd name="connsiteX1" fmla="*/ 714375 w 714375"/>
            <a:gd name="connsiteY1" fmla="*/ 0 h 152400"/>
            <a:gd name="connsiteX2" fmla="*/ 714375 w 714375"/>
            <a:gd name="connsiteY2" fmla="*/ 152400 h 152400"/>
            <a:gd name="connsiteX0" fmla="*/ 0 w 913844"/>
            <a:gd name="connsiteY0" fmla="*/ 0 h 4618"/>
            <a:gd name="connsiteX1" fmla="*/ 714375 w 913844"/>
            <a:gd name="connsiteY1" fmla="*/ 0 h 4618"/>
            <a:gd name="connsiteX2" fmla="*/ 913844 w 913844"/>
            <a:gd name="connsiteY2" fmla="*/ 4618 h 4618"/>
            <a:gd name="connsiteX0" fmla="*/ 0 w 2183"/>
            <a:gd name="connsiteY0" fmla="*/ 0 h 340024"/>
            <a:gd name="connsiteX1" fmla="*/ 0 w 2183"/>
            <a:gd name="connsiteY1" fmla="*/ 330024 h 340024"/>
            <a:gd name="connsiteX2" fmla="*/ 2183 w 2183"/>
            <a:gd name="connsiteY2" fmla="*/ 340024 h 340024"/>
            <a:gd name="connsiteX0" fmla="*/ 0 w 9535"/>
            <a:gd name="connsiteY0" fmla="*/ 0 h 9706"/>
            <a:gd name="connsiteX1" fmla="*/ 0 w 9535"/>
            <a:gd name="connsiteY1" fmla="*/ 9706 h 9706"/>
            <a:gd name="connsiteX2" fmla="*/ 9535 w 9535"/>
            <a:gd name="connsiteY2" fmla="*/ 9412 h 9706"/>
            <a:gd name="connsiteX0" fmla="*/ 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9697 h 10000"/>
            <a:gd name="connsiteX0" fmla="*/ 0 w 31217"/>
            <a:gd name="connsiteY0" fmla="*/ 0 h 10000"/>
            <a:gd name="connsiteX1" fmla="*/ 0 w 31217"/>
            <a:gd name="connsiteY1" fmla="*/ 10000 h 10000"/>
            <a:gd name="connsiteX2" fmla="*/ 31217 w 31217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217" h="10000">
              <a:moveTo>
                <a:pt x="0" y="0"/>
              </a:moveTo>
              <a:lnTo>
                <a:pt x="0" y="10000"/>
              </a:lnTo>
              <a:lnTo>
                <a:pt x="31217" y="10000"/>
              </a:lnTo>
            </a:path>
          </a:pathLst>
        </a:custGeom>
        <a:ln>
          <a:solidFill>
            <a:schemeClr val="bg1">
              <a:lumMod val="65000"/>
            </a:schemeClr>
          </a:solidFill>
          <a:headEnd type="none" w="med" len="med"/>
          <a:tailEnd type="arrow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214661</xdr:colOff>
      <xdr:row>14</xdr:row>
      <xdr:rowOff>19978</xdr:rowOff>
    </xdr:from>
    <xdr:to>
      <xdr:col>27</xdr:col>
      <xdr:colOff>371497</xdr:colOff>
      <xdr:row>15</xdr:row>
      <xdr:rowOff>19051</xdr:rowOff>
    </xdr:to>
    <xdr:sp macro="" textlink="">
      <xdr:nvSpPr>
        <xdr:cNvPr id="76" name="フリーフォーム 75"/>
        <xdr:cNvSpPr/>
      </xdr:nvSpPr>
      <xdr:spPr>
        <a:xfrm flipH="1">
          <a:off x="8006111" y="2125003"/>
          <a:ext cx="156836" cy="151473"/>
        </a:xfrm>
        <a:custGeom>
          <a:avLst/>
          <a:gdLst>
            <a:gd name="connsiteX0" fmla="*/ 0 w 809625"/>
            <a:gd name="connsiteY0" fmla="*/ 66675 h 247650"/>
            <a:gd name="connsiteX1" fmla="*/ 723900 w 809625"/>
            <a:gd name="connsiteY1" fmla="*/ 0 h 247650"/>
            <a:gd name="connsiteX2" fmla="*/ 809625 w 809625"/>
            <a:gd name="connsiteY2" fmla="*/ 247650 h 247650"/>
            <a:gd name="connsiteX0" fmla="*/ 0 w 828675"/>
            <a:gd name="connsiteY0" fmla="*/ 47625 h 247650"/>
            <a:gd name="connsiteX1" fmla="*/ 742950 w 828675"/>
            <a:gd name="connsiteY1" fmla="*/ 0 h 247650"/>
            <a:gd name="connsiteX2" fmla="*/ 828675 w 828675"/>
            <a:gd name="connsiteY2" fmla="*/ 247650 h 247650"/>
            <a:gd name="connsiteX0" fmla="*/ 0 w 828675"/>
            <a:gd name="connsiteY0" fmla="*/ 0 h 200025"/>
            <a:gd name="connsiteX1" fmla="*/ 714375 w 828675"/>
            <a:gd name="connsiteY1" fmla="*/ 0 h 200025"/>
            <a:gd name="connsiteX2" fmla="*/ 828675 w 828675"/>
            <a:gd name="connsiteY2" fmla="*/ 200025 h 200025"/>
            <a:gd name="connsiteX0" fmla="*/ 0 w 714375"/>
            <a:gd name="connsiteY0" fmla="*/ 0 h 152400"/>
            <a:gd name="connsiteX1" fmla="*/ 714375 w 714375"/>
            <a:gd name="connsiteY1" fmla="*/ 0 h 152400"/>
            <a:gd name="connsiteX2" fmla="*/ 714375 w 714375"/>
            <a:gd name="connsiteY2" fmla="*/ 152400 h 152400"/>
            <a:gd name="connsiteX0" fmla="*/ 0 w 913844"/>
            <a:gd name="connsiteY0" fmla="*/ 0 h 4618"/>
            <a:gd name="connsiteX1" fmla="*/ 714375 w 913844"/>
            <a:gd name="connsiteY1" fmla="*/ 0 h 4618"/>
            <a:gd name="connsiteX2" fmla="*/ 913844 w 913844"/>
            <a:gd name="connsiteY2" fmla="*/ 4618 h 4618"/>
            <a:gd name="connsiteX0" fmla="*/ 0 w 2183"/>
            <a:gd name="connsiteY0" fmla="*/ 0 h 340024"/>
            <a:gd name="connsiteX1" fmla="*/ 0 w 2183"/>
            <a:gd name="connsiteY1" fmla="*/ 330024 h 340024"/>
            <a:gd name="connsiteX2" fmla="*/ 2183 w 2183"/>
            <a:gd name="connsiteY2" fmla="*/ 340024 h 340024"/>
            <a:gd name="connsiteX0" fmla="*/ 0 w 9535"/>
            <a:gd name="connsiteY0" fmla="*/ 0 h 9706"/>
            <a:gd name="connsiteX1" fmla="*/ 0 w 9535"/>
            <a:gd name="connsiteY1" fmla="*/ 9706 h 9706"/>
            <a:gd name="connsiteX2" fmla="*/ 9535 w 9535"/>
            <a:gd name="connsiteY2" fmla="*/ 9412 h 9706"/>
            <a:gd name="connsiteX0" fmla="*/ 0 w 10000"/>
            <a:gd name="connsiteY0" fmla="*/ 0 h 10000"/>
            <a:gd name="connsiteX1" fmla="*/ 0 w 10000"/>
            <a:gd name="connsiteY1" fmla="*/ 10000 h 10000"/>
            <a:gd name="connsiteX2" fmla="*/ 10000 w 10000"/>
            <a:gd name="connsiteY2" fmla="*/ 9697 h 10000"/>
            <a:gd name="connsiteX0" fmla="*/ 0 w 31217"/>
            <a:gd name="connsiteY0" fmla="*/ 0 h 10000"/>
            <a:gd name="connsiteX1" fmla="*/ 0 w 31217"/>
            <a:gd name="connsiteY1" fmla="*/ 10000 h 10000"/>
            <a:gd name="connsiteX2" fmla="*/ 31217 w 31217"/>
            <a:gd name="connsiteY2" fmla="*/ 1000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1217" h="10000">
              <a:moveTo>
                <a:pt x="0" y="0"/>
              </a:moveTo>
              <a:lnTo>
                <a:pt x="0" y="10000"/>
              </a:lnTo>
              <a:lnTo>
                <a:pt x="31217" y="10000"/>
              </a:lnTo>
            </a:path>
          </a:pathLst>
        </a:custGeom>
        <a:ln>
          <a:solidFill>
            <a:schemeClr val="bg1">
              <a:lumMod val="65000"/>
            </a:schemeClr>
          </a:solidFill>
          <a:headEnd type="none" w="med" len="med"/>
          <a:tailEnd type="arrow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422101</xdr:colOff>
      <xdr:row>4</xdr:row>
      <xdr:rowOff>123101</xdr:rowOff>
    </xdr:from>
    <xdr:to>
      <xdr:col>29</xdr:col>
      <xdr:colOff>115460</xdr:colOff>
      <xdr:row>5</xdr:row>
      <xdr:rowOff>135208</xdr:rowOff>
    </xdr:to>
    <xdr:grpSp>
      <xdr:nvGrpSpPr>
        <xdr:cNvPr id="77" name="グループ化 76"/>
        <xdr:cNvGrpSpPr/>
      </xdr:nvGrpSpPr>
      <xdr:grpSpPr>
        <a:xfrm>
          <a:off x="8708851" y="704126"/>
          <a:ext cx="188659" cy="164507"/>
          <a:chOff x="16092120" y="3783953"/>
          <a:chExt cx="188659" cy="165437"/>
        </a:xfrm>
      </xdr:grpSpPr>
      <xdr:sp macro="" textlink="">
        <xdr:nvSpPr>
          <xdr:cNvPr id="78" name="フリーフォーム 77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79" name="正方形/長方形 78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30</xdr:col>
      <xdr:colOff>145876</xdr:colOff>
      <xdr:row>6</xdr:row>
      <xdr:rowOff>123101</xdr:rowOff>
    </xdr:from>
    <xdr:to>
      <xdr:col>30</xdr:col>
      <xdr:colOff>334535</xdr:colOff>
      <xdr:row>7</xdr:row>
      <xdr:rowOff>135208</xdr:rowOff>
    </xdr:to>
    <xdr:grpSp>
      <xdr:nvGrpSpPr>
        <xdr:cNvPr id="80" name="グループ化 79"/>
        <xdr:cNvGrpSpPr/>
      </xdr:nvGrpSpPr>
      <xdr:grpSpPr>
        <a:xfrm>
          <a:off x="9423226" y="1008926"/>
          <a:ext cx="188659" cy="164507"/>
          <a:chOff x="16092120" y="3783953"/>
          <a:chExt cx="188659" cy="165437"/>
        </a:xfrm>
      </xdr:grpSpPr>
      <xdr:sp macro="" textlink="">
        <xdr:nvSpPr>
          <xdr:cNvPr id="81" name="フリーフォーム 80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82" name="正方形/長方形 81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24</xdr:col>
      <xdr:colOff>255597</xdr:colOff>
      <xdr:row>10</xdr:row>
      <xdr:rowOff>75071</xdr:rowOff>
    </xdr:from>
    <xdr:to>
      <xdr:col>24</xdr:col>
      <xdr:colOff>461933</xdr:colOff>
      <xdr:row>11</xdr:row>
      <xdr:rowOff>27360</xdr:rowOff>
    </xdr:to>
    <xdr:grpSp>
      <xdr:nvGrpSpPr>
        <xdr:cNvPr id="83" name="グループ化 82"/>
        <xdr:cNvGrpSpPr/>
      </xdr:nvGrpSpPr>
      <xdr:grpSpPr>
        <a:xfrm>
          <a:off x="6561147" y="1570496"/>
          <a:ext cx="206336" cy="104689"/>
          <a:chOff x="16074444" y="3171421"/>
          <a:chExt cx="206336" cy="105619"/>
        </a:xfrm>
      </xdr:grpSpPr>
      <xdr:cxnSp macro="">
        <xdr:nvCxnSpPr>
          <xdr:cNvPr id="84" name="直線矢印コネクタ 83"/>
          <xdr:cNvCxnSpPr/>
        </xdr:nvCxnSpPr>
        <xdr:spPr>
          <a:xfrm>
            <a:off x="16127451" y="3219915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5" name="正方形/長方形 84"/>
          <xdr:cNvSpPr/>
        </xdr:nvSpPr>
        <xdr:spPr>
          <a:xfrm>
            <a:off x="16074444" y="3171421"/>
            <a:ext cx="108000" cy="10561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25</xdr:col>
      <xdr:colOff>465147</xdr:colOff>
      <xdr:row>12</xdr:row>
      <xdr:rowOff>15541</xdr:rowOff>
    </xdr:from>
    <xdr:to>
      <xdr:col>26</xdr:col>
      <xdr:colOff>176183</xdr:colOff>
      <xdr:row>12</xdr:row>
      <xdr:rowOff>122612</xdr:rowOff>
    </xdr:to>
    <xdr:grpSp>
      <xdr:nvGrpSpPr>
        <xdr:cNvPr id="86" name="グループ化 85"/>
        <xdr:cNvGrpSpPr/>
      </xdr:nvGrpSpPr>
      <xdr:grpSpPr>
        <a:xfrm>
          <a:off x="7265997" y="1815766"/>
          <a:ext cx="206336" cy="107071"/>
          <a:chOff x="16074444" y="3171421"/>
          <a:chExt cx="206336" cy="105619"/>
        </a:xfrm>
      </xdr:grpSpPr>
      <xdr:cxnSp macro="">
        <xdr:nvCxnSpPr>
          <xdr:cNvPr id="87" name="直線矢印コネクタ 86"/>
          <xdr:cNvCxnSpPr/>
        </xdr:nvCxnSpPr>
        <xdr:spPr>
          <a:xfrm>
            <a:off x="16127451" y="3219915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8" name="正方形/長方形 87"/>
          <xdr:cNvSpPr/>
        </xdr:nvSpPr>
        <xdr:spPr>
          <a:xfrm>
            <a:off x="16074444" y="3171421"/>
            <a:ext cx="108000" cy="10561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B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25</xdr:col>
      <xdr:colOff>473677</xdr:colOff>
      <xdr:row>4</xdr:row>
      <xdr:rowOff>19982</xdr:rowOff>
    </xdr:from>
    <xdr:to>
      <xdr:col>26</xdr:col>
      <xdr:colOff>182136</xdr:colOff>
      <xdr:row>4</xdr:row>
      <xdr:rowOff>127983</xdr:rowOff>
    </xdr:to>
    <xdr:grpSp>
      <xdr:nvGrpSpPr>
        <xdr:cNvPr id="89" name="グループ化 88"/>
        <xdr:cNvGrpSpPr/>
      </xdr:nvGrpSpPr>
      <xdr:grpSpPr>
        <a:xfrm>
          <a:off x="7274527" y="601007"/>
          <a:ext cx="203759" cy="108001"/>
          <a:chOff x="16077021" y="3323239"/>
          <a:chExt cx="203759" cy="106548"/>
        </a:xfrm>
      </xdr:grpSpPr>
      <xdr:cxnSp macro="">
        <xdr:nvCxnSpPr>
          <xdr:cNvPr id="90" name="直線矢印コネクタ 89"/>
          <xdr:cNvCxnSpPr/>
        </xdr:nvCxnSpPr>
        <xdr:spPr>
          <a:xfrm>
            <a:off x="16127451" y="3373244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1" name="正方形/長方形 90"/>
          <xdr:cNvSpPr/>
        </xdr:nvSpPr>
        <xdr:spPr>
          <a:xfrm>
            <a:off x="16077021" y="3323239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D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25</xdr:col>
      <xdr:colOff>473677</xdr:colOff>
      <xdr:row>8</xdr:row>
      <xdr:rowOff>19982</xdr:rowOff>
    </xdr:from>
    <xdr:to>
      <xdr:col>26</xdr:col>
      <xdr:colOff>182136</xdr:colOff>
      <xdr:row>8</xdr:row>
      <xdr:rowOff>127983</xdr:rowOff>
    </xdr:to>
    <xdr:grpSp>
      <xdr:nvGrpSpPr>
        <xdr:cNvPr id="92" name="グループ化 91"/>
        <xdr:cNvGrpSpPr/>
      </xdr:nvGrpSpPr>
      <xdr:grpSpPr>
        <a:xfrm>
          <a:off x="7274527" y="1210607"/>
          <a:ext cx="203759" cy="108001"/>
          <a:chOff x="16077021" y="3323239"/>
          <a:chExt cx="203759" cy="106548"/>
        </a:xfrm>
      </xdr:grpSpPr>
      <xdr:cxnSp macro="">
        <xdr:nvCxnSpPr>
          <xdr:cNvPr id="93" name="直線矢印コネクタ 92"/>
          <xdr:cNvCxnSpPr/>
        </xdr:nvCxnSpPr>
        <xdr:spPr>
          <a:xfrm>
            <a:off x="16127451" y="3373244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4" name="正方形/長方形 93"/>
          <xdr:cNvSpPr/>
        </xdr:nvSpPr>
        <xdr:spPr>
          <a:xfrm>
            <a:off x="16077021" y="3323239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D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28</xdr:col>
      <xdr:colOff>416527</xdr:colOff>
      <xdr:row>8</xdr:row>
      <xdr:rowOff>19982</xdr:rowOff>
    </xdr:from>
    <xdr:to>
      <xdr:col>29</xdr:col>
      <xdr:colOff>124986</xdr:colOff>
      <xdr:row>8</xdr:row>
      <xdr:rowOff>127983</xdr:rowOff>
    </xdr:to>
    <xdr:grpSp>
      <xdr:nvGrpSpPr>
        <xdr:cNvPr id="95" name="グループ化 94"/>
        <xdr:cNvGrpSpPr/>
      </xdr:nvGrpSpPr>
      <xdr:grpSpPr>
        <a:xfrm>
          <a:off x="8703277" y="1210607"/>
          <a:ext cx="203759" cy="108001"/>
          <a:chOff x="16077021" y="3323239"/>
          <a:chExt cx="203759" cy="106548"/>
        </a:xfrm>
      </xdr:grpSpPr>
      <xdr:cxnSp macro="">
        <xdr:nvCxnSpPr>
          <xdr:cNvPr id="96" name="直線矢印コネクタ 95"/>
          <xdr:cNvCxnSpPr/>
        </xdr:nvCxnSpPr>
        <xdr:spPr>
          <a:xfrm>
            <a:off x="16127451" y="3373244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7" name="正方形/長方形 96"/>
          <xdr:cNvSpPr/>
        </xdr:nvSpPr>
        <xdr:spPr>
          <a:xfrm>
            <a:off x="16077021" y="3323239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D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187927</xdr:colOff>
      <xdr:row>6</xdr:row>
      <xdr:rowOff>19982</xdr:rowOff>
    </xdr:from>
    <xdr:to>
      <xdr:col>27</xdr:col>
      <xdr:colOff>391686</xdr:colOff>
      <xdr:row>6</xdr:row>
      <xdr:rowOff>127982</xdr:rowOff>
    </xdr:to>
    <xdr:grpSp>
      <xdr:nvGrpSpPr>
        <xdr:cNvPr id="98" name="グループ化 97"/>
        <xdr:cNvGrpSpPr/>
      </xdr:nvGrpSpPr>
      <xdr:grpSpPr>
        <a:xfrm>
          <a:off x="7979377" y="905807"/>
          <a:ext cx="203759" cy="108000"/>
          <a:chOff x="16077021" y="3323239"/>
          <a:chExt cx="203759" cy="106548"/>
        </a:xfrm>
      </xdr:grpSpPr>
      <xdr:cxnSp macro="">
        <xdr:nvCxnSpPr>
          <xdr:cNvPr id="99" name="直線矢印コネクタ 98"/>
          <xdr:cNvCxnSpPr/>
        </xdr:nvCxnSpPr>
        <xdr:spPr>
          <a:xfrm>
            <a:off x="16127451" y="3373244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0" name="正方形/長方形 99"/>
          <xdr:cNvSpPr/>
        </xdr:nvSpPr>
        <xdr:spPr>
          <a:xfrm>
            <a:off x="16077021" y="3323239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D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187927</xdr:colOff>
      <xdr:row>10</xdr:row>
      <xdr:rowOff>19982</xdr:rowOff>
    </xdr:from>
    <xdr:to>
      <xdr:col>27</xdr:col>
      <xdr:colOff>391686</xdr:colOff>
      <xdr:row>10</xdr:row>
      <xdr:rowOff>127982</xdr:rowOff>
    </xdr:to>
    <xdr:grpSp>
      <xdr:nvGrpSpPr>
        <xdr:cNvPr id="101" name="グループ化 100"/>
        <xdr:cNvGrpSpPr/>
      </xdr:nvGrpSpPr>
      <xdr:grpSpPr>
        <a:xfrm>
          <a:off x="7979377" y="1515407"/>
          <a:ext cx="203759" cy="108000"/>
          <a:chOff x="16077021" y="3323239"/>
          <a:chExt cx="203759" cy="106548"/>
        </a:xfrm>
      </xdr:grpSpPr>
      <xdr:cxnSp macro="">
        <xdr:nvCxnSpPr>
          <xdr:cNvPr id="102" name="直線矢印コネクタ 101"/>
          <xdr:cNvCxnSpPr/>
        </xdr:nvCxnSpPr>
        <xdr:spPr>
          <a:xfrm>
            <a:off x="16127451" y="3373244"/>
            <a:ext cx="153329" cy="1"/>
          </a:xfrm>
          <a:prstGeom prst="straightConnector1">
            <a:avLst/>
          </a:prstGeom>
          <a:ln>
            <a:solidFill>
              <a:schemeClr val="bg1">
                <a:lumMod val="65000"/>
              </a:schemeClr>
            </a:solidFill>
            <a:tailEnd type="arrow" w="sm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3" name="正方形/長方形 102"/>
          <xdr:cNvSpPr/>
        </xdr:nvSpPr>
        <xdr:spPr>
          <a:xfrm>
            <a:off x="16077021" y="3323239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D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26</xdr:col>
      <xdr:colOff>475059</xdr:colOff>
      <xdr:row>4</xdr:row>
      <xdr:rowOff>138725</xdr:rowOff>
    </xdr:from>
    <xdr:to>
      <xdr:col>27</xdr:col>
      <xdr:colOff>157351</xdr:colOff>
      <xdr:row>6</xdr:row>
      <xdr:rowOff>669</xdr:rowOff>
    </xdr:to>
    <xdr:grpSp>
      <xdr:nvGrpSpPr>
        <xdr:cNvPr id="104" name="グループ化 103"/>
        <xdr:cNvGrpSpPr/>
      </xdr:nvGrpSpPr>
      <xdr:grpSpPr>
        <a:xfrm>
          <a:off x="7771209" y="719750"/>
          <a:ext cx="177592" cy="166744"/>
          <a:chOff x="16996317" y="3628387"/>
          <a:chExt cx="177592" cy="167674"/>
        </a:xfrm>
      </xdr:grpSpPr>
      <xdr:sp macro="" textlink="">
        <xdr:nvSpPr>
          <xdr:cNvPr id="105" name="フリーフォーム 104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06" name="正方形/長方形 105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28</xdr:col>
      <xdr:colOff>198834</xdr:colOff>
      <xdr:row>6</xdr:row>
      <xdr:rowOff>144678</xdr:rowOff>
    </xdr:from>
    <xdr:to>
      <xdr:col>28</xdr:col>
      <xdr:colOff>376426</xdr:colOff>
      <xdr:row>8</xdr:row>
      <xdr:rowOff>4242</xdr:rowOff>
    </xdr:to>
    <xdr:grpSp>
      <xdr:nvGrpSpPr>
        <xdr:cNvPr id="107" name="グループ化 106"/>
        <xdr:cNvGrpSpPr/>
      </xdr:nvGrpSpPr>
      <xdr:grpSpPr>
        <a:xfrm>
          <a:off x="8485584" y="1030503"/>
          <a:ext cx="177592" cy="164364"/>
          <a:chOff x="16996317" y="3628387"/>
          <a:chExt cx="177592" cy="167674"/>
        </a:xfrm>
      </xdr:grpSpPr>
      <xdr:sp macro="" textlink="">
        <xdr:nvSpPr>
          <xdr:cNvPr id="108" name="フリーフォーム 107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09" name="正方形/長方形 108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25</xdr:col>
      <xdr:colOff>469726</xdr:colOff>
      <xdr:row>4</xdr:row>
      <xdr:rowOff>146914</xdr:rowOff>
    </xdr:from>
    <xdr:to>
      <xdr:col>26</xdr:col>
      <xdr:colOff>163085</xdr:colOff>
      <xdr:row>6</xdr:row>
      <xdr:rowOff>4239</xdr:rowOff>
    </xdr:to>
    <xdr:grpSp>
      <xdr:nvGrpSpPr>
        <xdr:cNvPr id="110" name="グループ化 109"/>
        <xdr:cNvGrpSpPr/>
      </xdr:nvGrpSpPr>
      <xdr:grpSpPr>
        <a:xfrm>
          <a:off x="7270576" y="727939"/>
          <a:ext cx="188659" cy="162125"/>
          <a:chOff x="16092120" y="3783953"/>
          <a:chExt cx="188659" cy="165437"/>
        </a:xfrm>
      </xdr:grpSpPr>
      <xdr:sp macro="" textlink="">
        <xdr:nvSpPr>
          <xdr:cNvPr id="111" name="フリーフォーム 110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12" name="正方形/長方形 111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25</xdr:col>
      <xdr:colOff>469726</xdr:colOff>
      <xdr:row>8</xdr:row>
      <xdr:rowOff>140961</xdr:rowOff>
    </xdr:from>
    <xdr:to>
      <xdr:col>26</xdr:col>
      <xdr:colOff>163085</xdr:colOff>
      <xdr:row>10</xdr:row>
      <xdr:rowOff>667</xdr:rowOff>
    </xdr:to>
    <xdr:grpSp>
      <xdr:nvGrpSpPr>
        <xdr:cNvPr id="113" name="グループ化 112"/>
        <xdr:cNvGrpSpPr/>
      </xdr:nvGrpSpPr>
      <xdr:grpSpPr>
        <a:xfrm>
          <a:off x="7270576" y="1331586"/>
          <a:ext cx="188659" cy="164506"/>
          <a:chOff x="16092120" y="3783953"/>
          <a:chExt cx="188659" cy="165437"/>
        </a:xfrm>
      </xdr:grpSpPr>
      <xdr:sp macro="" textlink="">
        <xdr:nvSpPr>
          <xdr:cNvPr id="114" name="フリーフォーム 113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15" name="正方形/長方形 114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25</xdr:col>
      <xdr:colOff>469726</xdr:colOff>
      <xdr:row>12</xdr:row>
      <xdr:rowOff>146914</xdr:rowOff>
    </xdr:from>
    <xdr:to>
      <xdr:col>26</xdr:col>
      <xdr:colOff>163085</xdr:colOff>
      <xdr:row>14</xdr:row>
      <xdr:rowOff>4239</xdr:rowOff>
    </xdr:to>
    <xdr:grpSp>
      <xdr:nvGrpSpPr>
        <xdr:cNvPr id="116" name="グループ化 115"/>
        <xdr:cNvGrpSpPr/>
      </xdr:nvGrpSpPr>
      <xdr:grpSpPr>
        <a:xfrm>
          <a:off x="7270576" y="1947139"/>
          <a:ext cx="188659" cy="162125"/>
          <a:chOff x="16092120" y="3783953"/>
          <a:chExt cx="188659" cy="165437"/>
        </a:xfrm>
      </xdr:grpSpPr>
      <xdr:sp macro="" textlink="">
        <xdr:nvSpPr>
          <xdr:cNvPr id="117" name="フリーフォーム 116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18" name="正方形/長方形 117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24</xdr:col>
      <xdr:colOff>250651</xdr:colOff>
      <xdr:row>6</xdr:row>
      <xdr:rowOff>140960</xdr:rowOff>
    </xdr:from>
    <xdr:to>
      <xdr:col>24</xdr:col>
      <xdr:colOff>439310</xdr:colOff>
      <xdr:row>8</xdr:row>
      <xdr:rowOff>667</xdr:rowOff>
    </xdr:to>
    <xdr:grpSp>
      <xdr:nvGrpSpPr>
        <xdr:cNvPr id="119" name="グループ化 118"/>
        <xdr:cNvGrpSpPr/>
      </xdr:nvGrpSpPr>
      <xdr:grpSpPr>
        <a:xfrm>
          <a:off x="6556201" y="1026785"/>
          <a:ext cx="188659" cy="164507"/>
          <a:chOff x="16092120" y="3783953"/>
          <a:chExt cx="188659" cy="165437"/>
        </a:xfrm>
      </xdr:grpSpPr>
      <xdr:sp macro="" textlink="">
        <xdr:nvSpPr>
          <xdr:cNvPr id="120" name="フリーフォーム 119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21" name="正方形/長方形 120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187548</xdr:colOff>
      <xdr:row>6</xdr:row>
      <xdr:rowOff>140960</xdr:rowOff>
    </xdr:from>
    <xdr:to>
      <xdr:col>27</xdr:col>
      <xdr:colOff>376207</xdr:colOff>
      <xdr:row>8</xdr:row>
      <xdr:rowOff>667</xdr:rowOff>
    </xdr:to>
    <xdr:grpSp>
      <xdr:nvGrpSpPr>
        <xdr:cNvPr id="122" name="グループ化 121"/>
        <xdr:cNvGrpSpPr/>
      </xdr:nvGrpSpPr>
      <xdr:grpSpPr>
        <a:xfrm>
          <a:off x="7978998" y="1026785"/>
          <a:ext cx="188659" cy="164507"/>
          <a:chOff x="16092120" y="3783953"/>
          <a:chExt cx="188659" cy="165437"/>
        </a:xfrm>
      </xdr:grpSpPr>
      <xdr:sp macro="" textlink="">
        <xdr:nvSpPr>
          <xdr:cNvPr id="123" name="フリーフォーム 122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24" name="正方形/長方形 123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27</xdr:col>
      <xdr:colOff>187548</xdr:colOff>
      <xdr:row>10</xdr:row>
      <xdr:rowOff>140960</xdr:rowOff>
    </xdr:from>
    <xdr:to>
      <xdr:col>27</xdr:col>
      <xdr:colOff>376207</xdr:colOff>
      <xdr:row>12</xdr:row>
      <xdr:rowOff>667</xdr:rowOff>
    </xdr:to>
    <xdr:grpSp>
      <xdr:nvGrpSpPr>
        <xdr:cNvPr id="125" name="グループ化 124"/>
        <xdr:cNvGrpSpPr/>
      </xdr:nvGrpSpPr>
      <xdr:grpSpPr>
        <a:xfrm>
          <a:off x="7978998" y="1636385"/>
          <a:ext cx="188659" cy="164507"/>
          <a:chOff x="16092120" y="3783953"/>
          <a:chExt cx="188659" cy="165437"/>
        </a:xfrm>
      </xdr:grpSpPr>
      <xdr:sp macro="" textlink="">
        <xdr:nvSpPr>
          <xdr:cNvPr id="126" name="フリーフォーム 125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27" name="正方形/長方形 126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28</xdr:col>
      <xdr:colOff>412576</xdr:colOff>
      <xdr:row>8</xdr:row>
      <xdr:rowOff>140961</xdr:rowOff>
    </xdr:from>
    <xdr:to>
      <xdr:col>29</xdr:col>
      <xdr:colOff>105935</xdr:colOff>
      <xdr:row>10</xdr:row>
      <xdr:rowOff>667</xdr:rowOff>
    </xdr:to>
    <xdr:grpSp>
      <xdr:nvGrpSpPr>
        <xdr:cNvPr id="128" name="グループ化 127"/>
        <xdr:cNvGrpSpPr/>
      </xdr:nvGrpSpPr>
      <xdr:grpSpPr>
        <a:xfrm>
          <a:off x="8699326" y="1331586"/>
          <a:ext cx="188659" cy="164506"/>
          <a:chOff x="16092120" y="3783953"/>
          <a:chExt cx="188659" cy="165437"/>
        </a:xfrm>
      </xdr:grpSpPr>
      <xdr:sp macro="" textlink="">
        <xdr:nvSpPr>
          <xdr:cNvPr id="129" name="フリーフォーム 128"/>
          <xdr:cNvSpPr/>
        </xdr:nvSpPr>
        <xdr:spPr>
          <a:xfrm>
            <a:off x="16150682" y="3833232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30" name="正方形/長方形 129"/>
          <xdr:cNvSpPr/>
        </xdr:nvSpPr>
        <xdr:spPr>
          <a:xfrm>
            <a:off x="16092120" y="3783953"/>
            <a:ext cx="108000" cy="106548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 b="0">
                <a:solidFill>
                  <a:schemeClr val="bg1">
                    <a:lumMod val="65000"/>
                  </a:schemeClr>
                </a:solidFill>
              </a:rPr>
              <a:t>C</a:t>
            </a:r>
            <a:endParaRPr kumimoji="1" lang="ja-JP" altLang="en-US" sz="800" b="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25</xdr:col>
      <xdr:colOff>255984</xdr:colOff>
      <xdr:row>6</xdr:row>
      <xdr:rowOff>144678</xdr:rowOff>
    </xdr:from>
    <xdr:to>
      <xdr:col>25</xdr:col>
      <xdr:colOff>433576</xdr:colOff>
      <xdr:row>8</xdr:row>
      <xdr:rowOff>4242</xdr:rowOff>
    </xdr:to>
    <xdr:grpSp>
      <xdr:nvGrpSpPr>
        <xdr:cNvPr id="131" name="グループ化 130"/>
        <xdr:cNvGrpSpPr/>
      </xdr:nvGrpSpPr>
      <xdr:grpSpPr>
        <a:xfrm>
          <a:off x="7056834" y="1030503"/>
          <a:ext cx="177592" cy="164364"/>
          <a:chOff x="16996317" y="3628387"/>
          <a:chExt cx="177592" cy="167674"/>
        </a:xfrm>
      </xdr:grpSpPr>
      <xdr:sp macro="" textlink="">
        <xdr:nvSpPr>
          <xdr:cNvPr id="132" name="フリーフォーム 131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33" name="正方形/長方形 132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25</xdr:col>
      <xdr:colOff>255984</xdr:colOff>
      <xdr:row>10</xdr:row>
      <xdr:rowOff>144678</xdr:rowOff>
    </xdr:from>
    <xdr:to>
      <xdr:col>25</xdr:col>
      <xdr:colOff>433576</xdr:colOff>
      <xdr:row>12</xdr:row>
      <xdr:rowOff>4242</xdr:rowOff>
    </xdr:to>
    <xdr:grpSp>
      <xdr:nvGrpSpPr>
        <xdr:cNvPr id="134" name="グループ化 133"/>
        <xdr:cNvGrpSpPr/>
      </xdr:nvGrpSpPr>
      <xdr:grpSpPr>
        <a:xfrm>
          <a:off x="7056834" y="1640103"/>
          <a:ext cx="177592" cy="164364"/>
          <a:chOff x="16996317" y="3628387"/>
          <a:chExt cx="177592" cy="167674"/>
        </a:xfrm>
      </xdr:grpSpPr>
      <xdr:sp macro="" textlink="">
        <xdr:nvSpPr>
          <xdr:cNvPr id="135" name="フリーフォーム 134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36" name="正方形/長方形 135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26</xdr:col>
      <xdr:colOff>475059</xdr:colOff>
      <xdr:row>8</xdr:row>
      <xdr:rowOff>144678</xdr:rowOff>
    </xdr:from>
    <xdr:to>
      <xdr:col>27</xdr:col>
      <xdr:colOff>157351</xdr:colOff>
      <xdr:row>10</xdr:row>
      <xdr:rowOff>4241</xdr:rowOff>
    </xdr:to>
    <xdr:grpSp>
      <xdr:nvGrpSpPr>
        <xdr:cNvPr id="137" name="グループ化 136"/>
        <xdr:cNvGrpSpPr/>
      </xdr:nvGrpSpPr>
      <xdr:grpSpPr>
        <a:xfrm>
          <a:off x="7771209" y="1335303"/>
          <a:ext cx="177592" cy="164363"/>
          <a:chOff x="16996317" y="3628387"/>
          <a:chExt cx="177592" cy="167674"/>
        </a:xfrm>
      </xdr:grpSpPr>
      <xdr:sp macro="" textlink="">
        <xdr:nvSpPr>
          <xdr:cNvPr id="138" name="フリーフォーム 137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39" name="正方形/長方形 138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24</xdr:col>
      <xdr:colOff>36909</xdr:colOff>
      <xdr:row>8</xdr:row>
      <xdr:rowOff>144678</xdr:rowOff>
    </xdr:from>
    <xdr:to>
      <xdr:col>24</xdr:col>
      <xdr:colOff>214501</xdr:colOff>
      <xdr:row>10</xdr:row>
      <xdr:rowOff>4241</xdr:rowOff>
    </xdr:to>
    <xdr:grpSp>
      <xdr:nvGrpSpPr>
        <xdr:cNvPr id="140" name="グループ化 139"/>
        <xdr:cNvGrpSpPr/>
      </xdr:nvGrpSpPr>
      <xdr:grpSpPr>
        <a:xfrm>
          <a:off x="6342459" y="1335303"/>
          <a:ext cx="177592" cy="164363"/>
          <a:chOff x="16996317" y="3628387"/>
          <a:chExt cx="177592" cy="167674"/>
        </a:xfrm>
      </xdr:grpSpPr>
      <xdr:sp macro="" textlink="">
        <xdr:nvSpPr>
          <xdr:cNvPr id="141" name="フリーフォーム 140"/>
          <xdr:cNvSpPr/>
        </xdr:nvSpPr>
        <xdr:spPr>
          <a:xfrm flipH="1">
            <a:off x="16996317" y="3679903"/>
            <a:ext cx="130097" cy="116158"/>
          </a:xfrm>
          <a:custGeom>
            <a:avLst/>
            <a:gdLst>
              <a:gd name="connsiteX0" fmla="*/ 0 w 809625"/>
              <a:gd name="connsiteY0" fmla="*/ 66675 h 247650"/>
              <a:gd name="connsiteX1" fmla="*/ 723900 w 809625"/>
              <a:gd name="connsiteY1" fmla="*/ 0 h 247650"/>
              <a:gd name="connsiteX2" fmla="*/ 809625 w 809625"/>
              <a:gd name="connsiteY2" fmla="*/ 247650 h 247650"/>
              <a:gd name="connsiteX0" fmla="*/ 0 w 828675"/>
              <a:gd name="connsiteY0" fmla="*/ 47625 h 247650"/>
              <a:gd name="connsiteX1" fmla="*/ 742950 w 828675"/>
              <a:gd name="connsiteY1" fmla="*/ 0 h 247650"/>
              <a:gd name="connsiteX2" fmla="*/ 828675 w 828675"/>
              <a:gd name="connsiteY2" fmla="*/ 247650 h 247650"/>
              <a:gd name="connsiteX0" fmla="*/ 0 w 828675"/>
              <a:gd name="connsiteY0" fmla="*/ 0 h 200025"/>
              <a:gd name="connsiteX1" fmla="*/ 714375 w 828675"/>
              <a:gd name="connsiteY1" fmla="*/ 0 h 200025"/>
              <a:gd name="connsiteX2" fmla="*/ 828675 w 828675"/>
              <a:gd name="connsiteY2" fmla="*/ 200025 h 200025"/>
              <a:gd name="connsiteX0" fmla="*/ 0 w 714375"/>
              <a:gd name="connsiteY0" fmla="*/ 0 h 152400"/>
              <a:gd name="connsiteX1" fmla="*/ 714375 w 714375"/>
              <a:gd name="connsiteY1" fmla="*/ 0 h 152400"/>
              <a:gd name="connsiteX2" fmla="*/ 714375 w 714375"/>
              <a:gd name="connsiteY2" fmla="*/ 152400 h 15240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714375" h="152400">
                <a:moveTo>
                  <a:pt x="0" y="0"/>
                </a:moveTo>
                <a:lnTo>
                  <a:pt x="714375" y="0"/>
                </a:lnTo>
                <a:lnTo>
                  <a:pt x="714375" y="152400"/>
                </a:lnTo>
              </a:path>
            </a:pathLst>
          </a:custGeom>
          <a:ln>
            <a:solidFill>
              <a:schemeClr val="bg1">
                <a:lumMod val="65000"/>
              </a:schemeClr>
            </a:solidFill>
            <a:headEnd type="none" w="med" len="med"/>
            <a:tailEnd type="arrow" w="sm" len="sm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">
        <xdr:nvSpPr>
          <xdr:cNvPr id="142" name="正方形/長方形 141"/>
          <xdr:cNvSpPr/>
        </xdr:nvSpPr>
        <xdr:spPr>
          <a:xfrm>
            <a:off x="17064746" y="3628387"/>
            <a:ext cx="109163" cy="108929"/>
          </a:xfrm>
          <a:prstGeom prst="rect">
            <a:avLst/>
          </a:prstGeom>
          <a:solidFill>
            <a:schemeClr val="bg1"/>
          </a:solidFill>
          <a:ln w="3175">
            <a:solidFill>
              <a:schemeClr val="bg1">
                <a:lumMod val="6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ctr"/>
          <a:lstStyle/>
          <a:p>
            <a:pPr algn="ctr"/>
            <a:r>
              <a:rPr kumimoji="1" lang="en-US" altLang="ja-JP" sz="800">
                <a:solidFill>
                  <a:schemeClr val="bg1">
                    <a:lumMod val="65000"/>
                  </a:schemeClr>
                </a:solidFill>
              </a:rPr>
              <a:t>A</a:t>
            </a:r>
            <a:endParaRPr kumimoji="1" lang="ja-JP" altLang="en-US" sz="800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.xml"/><Relationship Id="rId13" Type="http://schemas.openxmlformats.org/officeDocument/2006/relationships/ctrlProp" Target="../ctrlProps/ctrlProp27.xml"/><Relationship Id="rId18" Type="http://schemas.openxmlformats.org/officeDocument/2006/relationships/ctrlProp" Target="../ctrlProps/ctrlProp32.xml"/><Relationship Id="rId26" Type="http://schemas.openxmlformats.org/officeDocument/2006/relationships/ctrlProp" Target="../ctrlProps/ctrlProp40.xml"/><Relationship Id="rId39" Type="http://schemas.openxmlformats.org/officeDocument/2006/relationships/ctrlProp" Target="../ctrlProps/ctrlProp5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5.xml"/><Relationship Id="rId34" Type="http://schemas.openxmlformats.org/officeDocument/2006/relationships/ctrlProp" Target="../ctrlProps/ctrlProp48.xml"/><Relationship Id="rId42" Type="http://schemas.openxmlformats.org/officeDocument/2006/relationships/ctrlProp" Target="../ctrlProps/ctrlProp56.xml"/><Relationship Id="rId7" Type="http://schemas.openxmlformats.org/officeDocument/2006/relationships/ctrlProp" Target="../ctrlProps/ctrlProp21.xml"/><Relationship Id="rId12" Type="http://schemas.openxmlformats.org/officeDocument/2006/relationships/ctrlProp" Target="../ctrlProps/ctrlProp26.xml"/><Relationship Id="rId17" Type="http://schemas.openxmlformats.org/officeDocument/2006/relationships/ctrlProp" Target="../ctrlProps/ctrlProp31.xml"/><Relationship Id="rId25" Type="http://schemas.openxmlformats.org/officeDocument/2006/relationships/ctrlProp" Target="../ctrlProps/ctrlProp39.xml"/><Relationship Id="rId33" Type="http://schemas.openxmlformats.org/officeDocument/2006/relationships/ctrlProp" Target="../ctrlProps/ctrlProp47.xml"/><Relationship Id="rId38" Type="http://schemas.openxmlformats.org/officeDocument/2006/relationships/ctrlProp" Target="../ctrlProps/ctrlProp5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0.xml"/><Relationship Id="rId20" Type="http://schemas.openxmlformats.org/officeDocument/2006/relationships/ctrlProp" Target="../ctrlProps/ctrlProp34.xml"/><Relationship Id="rId29" Type="http://schemas.openxmlformats.org/officeDocument/2006/relationships/ctrlProp" Target="../ctrlProps/ctrlProp43.xml"/><Relationship Id="rId41" Type="http://schemas.openxmlformats.org/officeDocument/2006/relationships/ctrlProp" Target="../ctrlProps/ctrlProp5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0.xml"/><Relationship Id="rId11" Type="http://schemas.openxmlformats.org/officeDocument/2006/relationships/ctrlProp" Target="../ctrlProps/ctrlProp25.xml"/><Relationship Id="rId24" Type="http://schemas.openxmlformats.org/officeDocument/2006/relationships/ctrlProp" Target="../ctrlProps/ctrlProp38.xml"/><Relationship Id="rId32" Type="http://schemas.openxmlformats.org/officeDocument/2006/relationships/ctrlProp" Target="../ctrlProps/ctrlProp46.xml"/><Relationship Id="rId37" Type="http://schemas.openxmlformats.org/officeDocument/2006/relationships/ctrlProp" Target="../ctrlProps/ctrlProp51.xml"/><Relationship Id="rId40" Type="http://schemas.openxmlformats.org/officeDocument/2006/relationships/ctrlProp" Target="../ctrlProps/ctrlProp54.xml"/><Relationship Id="rId5" Type="http://schemas.openxmlformats.org/officeDocument/2006/relationships/ctrlProp" Target="../ctrlProps/ctrlProp19.xml"/><Relationship Id="rId15" Type="http://schemas.openxmlformats.org/officeDocument/2006/relationships/ctrlProp" Target="../ctrlProps/ctrlProp29.xml"/><Relationship Id="rId23" Type="http://schemas.openxmlformats.org/officeDocument/2006/relationships/ctrlProp" Target="../ctrlProps/ctrlProp37.xml"/><Relationship Id="rId28" Type="http://schemas.openxmlformats.org/officeDocument/2006/relationships/ctrlProp" Target="../ctrlProps/ctrlProp42.xml"/><Relationship Id="rId36" Type="http://schemas.openxmlformats.org/officeDocument/2006/relationships/ctrlProp" Target="../ctrlProps/ctrlProp50.xml"/><Relationship Id="rId10" Type="http://schemas.openxmlformats.org/officeDocument/2006/relationships/ctrlProp" Target="../ctrlProps/ctrlProp24.xml"/><Relationship Id="rId19" Type="http://schemas.openxmlformats.org/officeDocument/2006/relationships/ctrlProp" Target="../ctrlProps/ctrlProp33.xml"/><Relationship Id="rId31" Type="http://schemas.openxmlformats.org/officeDocument/2006/relationships/ctrlProp" Target="../ctrlProps/ctrlProp45.xml"/><Relationship Id="rId4" Type="http://schemas.openxmlformats.org/officeDocument/2006/relationships/ctrlProp" Target="../ctrlProps/ctrlProp18.xml"/><Relationship Id="rId9" Type="http://schemas.openxmlformats.org/officeDocument/2006/relationships/ctrlProp" Target="../ctrlProps/ctrlProp23.xml"/><Relationship Id="rId14" Type="http://schemas.openxmlformats.org/officeDocument/2006/relationships/ctrlProp" Target="../ctrlProps/ctrlProp28.xml"/><Relationship Id="rId22" Type="http://schemas.openxmlformats.org/officeDocument/2006/relationships/ctrlProp" Target="../ctrlProps/ctrlProp36.xml"/><Relationship Id="rId27" Type="http://schemas.openxmlformats.org/officeDocument/2006/relationships/ctrlProp" Target="../ctrlProps/ctrlProp41.xml"/><Relationship Id="rId30" Type="http://schemas.openxmlformats.org/officeDocument/2006/relationships/ctrlProp" Target="../ctrlProps/ctrlProp44.xml"/><Relationship Id="rId35" Type="http://schemas.openxmlformats.org/officeDocument/2006/relationships/ctrlProp" Target="../ctrlProps/ctrlProp49.xml"/><Relationship Id="rId43" Type="http://schemas.openxmlformats.org/officeDocument/2006/relationships/ctrlProp" Target="../ctrlProps/ctrlProp5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2.xml"/><Relationship Id="rId13" Type="http://schemas.openxmlformats.org/officeDocument/2006/relationships/ctrlProp" Target="../ctrlProps/ctrlProp67.xml"/><Relationship Id="rId18" Type="http://schemas.openxmlformats.org/officeDocument/2006/relationships/ctrlProp" Target="../ctrlProps/ctrlProp7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1.xml"/><Relationship Id="rId12" Type="http://schemas.openxmlformats.org/officeDocument/2006/relationships/ctrlProp" Target="../ctrlProps/ctrlProp66.xml"/><Relationship Id="rId17" Type="http://schemas.openxmlformats.org/officeDocument/2006/relationships/ctrlProp" Target="../ctrlProps/ctrlProp71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70.xml"/><Relationship Id="rId20" Type="http://schemas.openxmlformats.org/officeDocument/2006/relationships/ctrlProp" Target="../ctrlProps/ctrlProp7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0.xml"/><Relationship Id="rId11" Type="http://schemas.openxmlformats.org/officeDocument/2006/relationships/ctrlProp" Target="../ctrlProps/ctrlProp65.xml"/><Relationship Id="rId5" Type="http://schemas.openxmlformats.org/officeDocument/2006/relationships/ctrlProp" Target="../ctrlProps/ctrlProp59.xml"/><Relationship Id="rId15" Type="http://schemas.openxmlformats.org/officeDocument/2006/relationships/ctrlProp" Target="../ctrlProps/ctrlProp69.xml"/><Relationship Id="rId10" Type="http://schemas.openxmlformats.org/officeDocument/2006/relationships/ctrlProp" Target="../ctrlProps/ctrlProp64.xml"/><Relationship Id="rId19" Type="http://schemas.openxmlformats.org/officeDocument/2006/relationships/ctrlProp" Target="../ctrlProps/ctrlProp73.xml"/><Relationship Id="rId4" Type="http://schemas.openxmlformats.org/officeDocument/2006/relationships/ctrlProp" Target="../ctrlProps/ctrlProp58.xml"/><Relationship Id="rId9" Type="http://schemas.openxmlformats.org/officeDocument/2006/relationships/ctrlProp" Target="../ctrlProps/ctrlProp63.xml"/><Relationship Id="rId14" Type="http://schemas.openxmlformats.org/officeDocument/2006/relationships/ctrlProp" Target="../ctrlProps/ctrlProp68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M109"/>
  <sheetViews>
    <sheetView showGridLines="0" tabSelected="1" zoomScaleNormal="100" workbookViewId="0"/>
  </sheetViews>
  <sheetFormatPr defaultRowHeight="12" outlineLevelCol="1"/>
  <cols>
    <col min="1" max="2" width="1.7109375" customWidth="1"/>
    <col min="3" max="3" width="6.7109375" customWidth="1"/>
    <col min="4" max="5" width="7.7109375" customWidth="1"/>
    <col min="6" max="6" width="6.7109375" customWidth="1"/>
    <col min="7" max="7" width="1.7109375" customWidth="1"/>
    <col min="8" max="8" width="4.7109375" customWidth="1"/>
    <col min="9" max="12" width="6.7109375" customWidth="1"/>
    <col min="13" max="13" width="6.7109375" hidden="1" customWidth="1" outlineLevel="1"/>
    <col min="14" max="16" width="7.7109375" hidden="1" customWidth="1" outlineLevel="1"/>
    <col min="17" max="21" width="8.7109375" hidden="1" customWidth="1" outlineLevel="1"/>
    <col min="22" max="22" width="5.85546875" customWidth="1" collapsed="1"/>
    <col min="23" max="26" width="6.7109375" customWidth="1"/>
    <col min="27" max="33" width="7.42578125" customWidth="1"/>
    <col min="34" max="34" width="6.7109375" customWidth="1"/>
    <col min="35" max="36" width="1.5703125" customWidth="1"/>
    <col min="37" max="37" width="0.85546875" customWidth="1"/>
    <col min="38" max="38" width="6.7109375" customWidth="1"/>
    <col min="39" max="40" width="2.7109375" hidden="1" customWidth="1" outlineLevel="1"/>
    <col min="41" max="41" width="5.7109375" hidden="1" customWidth="1" outlineLevel="1"/>
    <col min="42" max="42" width="3.7109375" hidden="1" customWidth="1" outlineLevel="1"/>
    <col min="43" max="43" width="7.28515625" hidden="1" customWidth="1" outlineLevel="1"/>
    <col min="44" max="44" width="15.28515625" hidden="1" customWidth="1" outlineLevel="1"/>
    <col min="45" max="47" width="6.7109375" hidden="1" customWidth="1" outlineLevel="1"/>
    <col min="48" max="48" width="8.7109375" hidden="1" customWidth="1" outlineLevel="1"/>
    <col min="49" max="49" width="2.7109375" hidden="1" customWidth="1" outlineLevel="1"/>
    <col min="50" max="50" width="4.7109375" hidden="1" customWidth="1" outlineLevel="1"/>
    <col min="51" max="51" width="5.7109375" hidden="1" customWidth="1" outlineLevel="1"/>
    <col min="52" max="52" width="6.7109375" hidden="1" customWidth="1" outlineLevel="1"/>
    <col min="53" max="53" width="15.7109375" hidden="1" customWidth="1" outlineLevel="1"/>
    <col min="54" max="56" width="6.7109375" hidden="1" customWidth="1" outlineLevel="1"/>
    <col min="57" max="57" width="8.7109375" hidden="1" customWidth="1" outlineLevel="1"/>
    <col min="58" max="59" width="2.7109375" hidden="1" customWidth="1" outlineLevel="1"/>
    <col min="60" max="60" width="6.7109375" hidden="1" customWidth="1" outlineLevel="1"/>
    <col min="61" max="63" width="7.7109375" hidden="1" customWidth="1" outlineLevel="1"/>
    <col min="64" max="64" width="9.140625" hidden="1" customWidth="1" outlineLevel="1"/>
    <col min="65" max="65" width="9.140625" collapsed="1"/>
  </cols>
  <sheetData>
    <row r="1" spans="2:63" ht="9.75" customHeight="1">
      <c r="AO1" s="28"/>
      <c r="AP1" s="21"/>
      <c r="AQ1" s="22" t="s">
        <v>7</v>
      </c>
      <c r="AR1" s="22" t="s">
        <v>125</v>
      </c>
      <c r="AS1" s="106" t="s">
        <v>10</v>
      </c>
      <c r="AT1" s="106" t="s">
        <v>16</v>
      </c>
      <c r="AU1" s="106" t="s">
        <v>8</v>
      </c>
      <c r="AV1" s="23"/>
      <c r="AX1" s="28"/>
      <c r="AY1" s="28"/>
      <c r="AZ1" s="32" t="s">
        <v>7</v>
      </c>
      <c r="BA1" s="32" t="s">
        <v>125</v>
      </c>
      <c r="BB1" s="32" t="s">
        <v>10</v>
      </c>
      <c r="BC1" s="32" t="s">
        <v>16</v>
      </c>
      <c r="BD1" s="32" t="s">
        <v>8</v>
      </c>
      <c r="BE1" s="32" t="s">
        <v>180</v>
      </c>
      <c r="BG1" s="28" t="s">
        <v>179</v>
      </c>
      <c r="BH1" s="28"/>
    </row>
    <row r="2" spans="2:63">
      <c r="B2" s="21" t="s">
        <v>173</v>
      </c>
      <c r="C2" s="22"/>
      <c r="D2" s="23"/>
      <c r="F2" s="21" t="s">
        <v>140</v>
      </c>
      <c r="G2" s="22"/>
      <c r="H2" s="22"/>
      <c r="I2" s="22"/>
      <c r="J2" s="22"/>
      <c r="K2" s="23"/>
      <c r="AM2">
        <v>1</v>
      </c>
      <c r="AN2">
        <f t="shared" ref="AN2:AN33" si="0">IF(AQ2=AQ1,AN1+1,1)</f>
        <v>1</v>
      </c>
      <c r="AO2" s="29">
        <f t="shared" ref="AO2:AO33" si="1">AM2*100+AN2</f>
        <v>101</v>
      </c>
      <c r="AP2" s="3"/>
      <c r="AQ2" s="4" t="s">
        <v>9</v>
      </c>
      <c r="AR2" s="4" t="s">
        <v>0</v>
      </c>
      <c r="AS2" s="4">
        <v>75</v>
      </c>
      <c r="AT2" s="5">
        <v>0.75</v>
      </c>
      <c r="AU2" s="124">
        <v>6</v>
      </c>
      <c r="AV2" s="6" t="s">
        <v>183</v>
      </c>
      <c r="AX2" s="33">
        <v>1</v>
      </c>
      <c r="AY2" s="33">
        <f t="shared" ref="AY2:AY11" si="2">IF(SUMIF($BG$5:$BG$20,$BG$2,$BK$5:$BK$20)&lt;AX2,"-",$BG$2*100+AX2)</f>
        <v>101</v>
      </c>
      <c r="AZ2" s="33" t="str">
        <f t="shared" ref="AZ2:AZ11" si="3">LOOKUP($AY2,$AO:$AO,AQ:AQ)</f>
        <v>妖精</v>
      </c>
      <c r="BA2" s="33" t="str">
        <f t="shared" ref="BA2:BA11" si="4">IF(ISERROR(AZ2),"-",LOOKUP($AY2,$AO:$AO,AR:AR))</f>
        <v>ピクシー</v>
      </c>
      <c r="BB2" s="33">
        <f t="shared" ref="BB2:BB11" si="5">LOOKUP($AY2,$AO:$AO,AS:AS)</f>
        <v>75</v>
      </c>
      <c r="BC2" s="34">
        <f t="shared" ref="BC2:BC11" si="6">LOOKUP($AY2,$AO:$AO,AT:AT)</f>
        <v>0.75</v>
      </c>
      <c r="BD2" s="33">
        <f t="shared" ref="BD2:BD11" si="7">LOOKUP($AY2,$AO:$AO,AU:AU)</f>
        <v>6</v>
      </c>
      <c r="BE2" s="33" t="str">
        <f t="shared" ref="BE2:BE11" si="8">IF(ISERROR(BD2),"-",LOOKUP($AY2,$AO:$AO,AV:AV))</f>
        <v>-</v>
      </c>
      <c r="BG2" s="32">
        <v>1</v>
      </c>
      <c r="BH2" s="32" t="str">
        <f>LOOKUP($BG$2,BG5:BG20,BH5:BH20)</f>
        <v>妖精</v>
      </c>
      <c r="BJ2">
        <f>SUMIF($BG$5:$BG$20,$BG$2,$BJ$5:$BJ$20)</f>
        <v>0</v>
      </c>
    </row>
    <row r="3" spans="2:63" ht="12" customHeight="1">
      <c r="B3" s="21" t="s">
        <v>5</v>
      </c>
      <c r="C3" s="23"/>
      <c r="D3" s="57">
        <v>150</v>
      </c>
      <c r="F3" s="59" t="s">
        <v>141</v>
      </c>
      <c r="G3" s="101"/>
      <c r="H3" s="60"/>
      <c r="I3" s="59" t="s">
        <v>147</v>
      </c>
      <c r="J3" s="60"/>
      <c r="K3" s="32" t="s">
        <v>150</v>
      </c>
      <c r="AM3">
        <f t="shared" ref="AM3:AM34" si="9">IF(AQ3=AQ2,AM2,AM2+1)</f>
        <v>1</v>
      </c>
      <c r="AN3">
        <f t="shared" si="0"/>
        <v>2</v>
      </c>
      <c r="AO3" s="30">
        <f t="shared" si="1"/>
        <v>102</v>
      </c>
      <c r="AP3" s="7"/>
      <c r="AQ3" s="8" t="s">
        <v>9</v>
      </c>
      <c r="AR3" s="8" t="s">
        <v>27</v>
      </c>
      <c r="AS3" s="8">
        <v>124</v>
      </c>
      <c r="AT3" s="9">
        <v>1</v>
      </c>
      <c r="AU3" s="125">
        <v>8</v>
      </c>
      <c r="AV3" s="10" t="s">
        <v>183</v>
      </c>
      <c r="AX3" s="35">
        <v>2</v>
      </c>
      <c r="AY3" s="35">
        <f t="shared" si="2"/>
        <v>102</v>
      </c>
      <c r="AZ3" s="35" t="str">
        <f t="shared" si="3"/>
        <v>妖精</v>
      </c>
      <c r="BA3" s="35" t="str">
        <f t="shared" si="4"/>
        <v>ジャックフロスト</v>
      </c>
      <c r="BB3" s="35">
        <f t="shared" si="5"/>
        <v>124</v>
      </c>
      <c r="BC3" s="36">
        <f t="shared" si="6"/>
        <v>1</v>
      </c>
      <c r="BD3" s="35">
        <f t="shared" si="7"/>
        <v>8</v>
      </c>
      <c r="BE3" s="35" t="str">
        <f t="shared" si="8"/>
        <v>-</v>
      </c>
    </row>
    <row r="4" spans="2:63" ht="12" customHeight="1">
      <c r="B4" s="21" t="s">
        <v>188</v>
      </c>
      <c r="C4" s="23"/>
      <c r="D4" s="58">
        <v>0.4</v>
      </c>
      <c r="F4" s="29" t="s">
        <v>142</v>
      </c>
      <c r="G4" s="135">
        <v>0.2</v>
      </c>
      <c r="H4" s="136"/>
      <c r="I4" s="28" t="s">
        <v>9</v>
      </c>
      <c r="J4" s="56">
        <v>0.2</v>
      </c>
      <c r="K4" s="55">
        <f>SUM(J4,G4)</f>
        <v>0.4</v>
      </c>
      <c r="AM4">
        <f t="shared" si="9"/>
        <v>1</v>
      </c>
      <c r="AN4">
        <f t="shared" si="0"/>
        <v>3</v>
      </c>
      <c r="AO4" s="30">
        <f t="shared" si="1"/>
        <v>103</v>
      </c>
      <c r="AP4" s="7"/>
      <c r="AQ4" s="8" t="s">
        <v>9</v>
      </c>
      <c r="AR4" s="8" t="s">
        <v>28</v>
      </c>
      <c r="AS4" s="8">
        <v>154</v>
      </c>
      <c r="AT4" s="9">
        <v>0.75</v>
      </c>
      <c r="AU4" s="125">
        <v>9</v>
      </c>
      <c r="AV4" s="10" t="s">
        <v>183</v>
      </c>
      <c r="AX4" s="35">
        <v>3</v>
      </c>
      <c r="AY4" s="35">
        <f t="shared" si="2"/>
        <v>103</v>
      </c>
      <c r="AZ4" s="35" t="str">
        <f t="shared" si="3"/>
        <v>妖精</v>
      </c>
      <c r="BA4" s="35" t="str">
        <f t="shared" si="4"/>
        <v>ハイピクシー</v>
      </c>
      <c r="BB4" s="35">
        <f t="shared" si="5"/>
        <v>154</v>
      </c>
      <c r="BC4" s="36">
        <f t="shared" si="6"/>
        <v>0.75</v>
      </c>
      <c r="BD4" s="35">
        <f t="shared" si="7"/>
        <v>9</v>
      </c>
      <c r="BE4" s="35" t="str">
        <f t="shared" si="8"/>
        <v>-</v>
      </c>
      <c r="BG4" s="21"/>
      <c r="BH4" s="23"/>
      <c r="BI4" s="32" t="s">
        <v>177</v>
      </c>
      <c r="BJ4" s="32" t="s">
        <v>189</v>
      </c>
      <c r="BK4" s="32" t="s">
        <v>176</v>
      </c>
    </row>
    <row r="5" spans="2:63" ht="12" customHeight="1">
      <c r="B5" s="21" t="s">
        <v>174</v>
      </c>
      <c r="C5" s="23"/>
      <c r="D5" s="58">
        <v>0.75</v>
      </c>
      <c r="F5" s="30"/>
      <c r="G5" s="137"/>
      <c r="H5" s="138"/>
      <c r="I5" s="28" t="s">
        <v>46</v>
      </c>
      <c r="J5" s="56">
        <v>0.2</v>
      </c>
      <c r="K5" s="55">
        <f>SUM(J5,G4)</f>
        <v>0.4</v>
      </c>
      <c r="AM5">
        <f t="shared" si="9"/>
        <v>1</v>
      </c>
      <c r="AN5">
        <f t="shared" si="0"/>
        <v>4</v>
      </c>
      <c r="AO5" s="30">
        <f t="shared" si="1"/>
        <v>104</v>
      </c>
      <c r="AP5" s="7"/>
      <c r="AQ5" s="8" t="s">
        <v>9</v>
      </c>
      <c r="AR5" s="8" t="s">
        <v>29</v>
      </c>
      <c r="AS5" s="8">
        <v>149</v>
      </c>
      <c r="AT5" s="9">
        <v>0.85</v>
      </c>
      <c r="AU5" s="125">
        <v>12</v>
      </c>
      <c r="AV5" s="10" t="s">
        <v>183</v>
      </c>
      <c r="AX5" s="35">
        <v>4</v>
      </c>
      <c r="AY5" s="35">
        <f t="shared" si="2"/>
        <v>104</v>
      </c>
      <c r="AZ5" s="35" t="str">
        <f t="shared" si="3"/>
        <v>妖精</v>
      </c>
      <c r="BA5" s="35" t="str">
        <f t="shared" si="4"/>
        <v>ジャックランタン</v>
      </c>
      <c r="BB5" s="35">
        <f t="shared" si="5"/>
        <v>149</v>
      </c>
      <c r="BC5" s="36">
        <f t="shared" si="6"/>
        <v>0.85</v>
      </c>
      <c r="BD5" s="35">
        <f t="shared" si="7"/>
        <v>12</v>
      </c>
      <c r="BE5" s="35" t="str">
        <f t="shared" si="8"/>
        <v>-</v>
      </c>
      <c r="BG5" s="33">
        <v>1</v>
      </c>
      <c r="BH5" s="33" t="s">
        <v>9</v>
      </c>
      <c r="BI5" s="103">
        <v>10</v>
      </c>
      <c r="BJ5" s="103"/>
      <c r="BK5" s="103">
        <f t="shared" ref="BK5:BK20" si="10">BI5+BJ5</f>
        <v>10</v>
      </c>
    </row>
    <row r="6" spans="2:63" ht="12" customHeight="1">
      <c r="B6" s="21" t="s">
        <v>175</v>
      </c>
      <c r="C6" s="23"/>
      <c r="D6" s="58">
        <v>0.4</v>
      </c>
      <c r="F6" s="31"/>
      <c r="G6" s="139"/>
      <c r="H6" s="140"/>
      <c r="I6" s="28" t="s">
        <v>123</v>
      </c>
      <c r="J6" s="56">
        <v>0.2</v>
      </c>
      <c r="K6" s="55">
        <f>SUM(J6,G4)</f>
        <v>0.4</v>
      </c>
      <c r="AM6">
        <f t="shared" si="9"/>
        <v>1</v>
      </c>
      <c r="AN6">
        <f t="shared" si="0"/>
        <v>5</v>
      </c>
      <c r="AO6" s="30">
        <f t="shared" si="1"/>
        <v>105</v>
      </c>
      <c r="AP6" s="7"/>
      <c r="AQ6" s="8" t="s">
        <v>9</v>
      </c>
      <c r="AR6" s="8" t="s">
        <v>11</v>
      </c>
      <c r="AS6" s="8">
        <v>215</v>
      </c>
      <c r="AT6" s="9">
        <v>0.75</v>
      </c>
      <c r="AU6" s="125">
        <v>4</v>
      </c>
      <c r="AV6" s="10" t="s">
        <v>183</v>
      </c>
      <c r="AX6" s="35">
        <v>5</v>
      </c>
      <c r="AY6" s="35">
        <f t="shared" si="2"/>
        <v>105</v>
      </c>
      <c r="AZ6" s="35" t="str">
        <f t="shared" si="3"/>
        <v>妖精</v>
      </c>
      <c r="BA6" s="35" t="str">
        <f t="shared" si="4"/>
        <v>ガンダルヴァ</v>
      </c>
      <c r="BB6" s="35">
        <f t="shared" si="5"/>
        <v>215</v>
      </c>
      <c r="BC6" s="36">
        <f t="shared" si="6"/>
        <v>0.75</v>
      </c>
      <c r="BD6" s="35">
        <f t="shared" si="7"/>
        <v>4</v>
      </c>
      <c r="BE6" s="35" t="str">
        <f t="shared" si="8"/>
        <v>-</v>
      </c>
      <c r="BG6" s="35">
        <v>2</v>
      </c>
      <c r="BH6" s="35" t="s">
        <v>17</v>
      </c>
      <c r="BI6" s="104">
        <v>8</v>
      </c>
      <c r="BJ6" s="104"/>
      <c r="BK6" s="104">
        <f t="shared" si="10"/>
        <v>8</v>
      </c>
    </row>
    <row r="7" spans="2:63" ht="12" customHeight="1">
      <c r="F7" s="29" t="s">
        <v>146</v>
      </c>
      <c r="G7" s="135">
        <v>0.2</v>
      </c>
      <c r="H7" s="136"/>
      <c r="I7" s="28" t="s">
        <v>38</v>
      </c>
      <c r="J7" s="56">
        <v>0.2</v>
      </c>
      <c r="K7" s="55">
        <f>SUM(J7,G7)</f>
        <v>0.4</v>
      </c>
      <c r="AM7">
        <f t="shared" si="9"/>
        <v>1</v>
      </c>
      <c r="AN7">
        <f t="shared" si="0"/>
        <v>6</v>
      </c>
      <c r="AO7" s="30">
        <f t="shared" si="1"/>
        <v>106</v>
      </c>
      <c r="AP7" s="7"/>
      <c r="AQ7" s="8" t="s">
        <v>9</v>
      </c>
      <c r="AR7" s="8" t="s">
        <v>12</v>
      </c>
      <c r="AS7" s="8">
        <v>194</v>
      </c>
      <c r="AT7" s="9">
        <v>0.75</v>
      </c>
      <c r="AU7" s="125">
        <v>7</v>
      </c>
      <c r="AV7" s="10" t="s">
        <v>183</v>
      </c>
      <c r="AX7" s="35">
        <v>6</v>
      </c>
      <c r="AY7" s="35">
        <f t="shared" si="2"/>
        <v>106</v>
      </c>
      <c r="AZ7" s="35" t="str">
        <f t="shared" si="3"/>
        <v>妖精</v>
      </c>
      <c r="BA7" s="35" t="str">
        <f t="shared" si="4"/>
        <v>ケルピー</v>
      </c>
      <c r="BB7" s="35">
        <f t="shared" si="5"/>
        <v>194</v>
      </c>
      <c r="BC7" s="36">
        <f t="shared" si="6"/>
        <v>0.75</v>
      </c>
      <c r="BD7" s="35">
        <f t="shared" si="7"/>
        <v>7</v>
      </c>
      <c r="BE7" s="35" t="str">
        <f t="shared" si="8"/>
        <v>-</v>
      </c>
      <c r="BG7" s="35">
        <v>3</v>
      </c>
      <c r="BH7" s="35" t="s">
        <v>30</v>
      </c>
      <c r="BI7" s="104">
        <v>7</v>
      </c>
      <c r="BJ7" s="104"/>
      <c r="BK7" s="104">
        <f t="shared" si="10"/>
        <v>7</v>
      </c>
    </row>
    <row r="8" spans="2:63" ht="12" customHeight="1">
      <c r="F8" s="30"/>
      <c r="G8" s="137"/>
      <c r="H8" s="138"/>
      <c r="I8" s="28" t="s">
        <v>30</v>
      </c>
      <c r="J8" s="56">
        <v>0.2</v>
      </c>
      <c r="K8" s="55">
        <f>SUM(J8,G7)</f>
        <v>0.4</v>
      </c>
      <c r="AM8">
        <f t="shared" si="9"/>
        <v>1</v>
      </c>
      <c r="AN8">
        <f t="shared" si="0"/>
        <v>7</v>
      </c>
      <c r="AO8" s="30">
        <f t="shared" si="1"/>
        <v>107</v>
      </c>
      <c r="AP8" s="7"/>
      <c r="AQ8" s="8" t="s">
        <v>9</v>
      </c>
      <c r="AR8" s="8" t="s">
        <v>13</v>
      </c>
      <c r="AS8" s="8">
        <v>285</v>
      </c>
      <c r="AT8" s="9">
        <v>0.75</v>
      </c>
      <c r="AU8" s="125">
        <v>11</v>
      </c>
      <c r="AV8" s="10" t="s">
        <v>183</v>
      </c>
      <c r="AX8" s="35">
        <v>7</v>
      </c>
      <c r="AY8" s="35">
        <f t="shared" si="2"/>
        <v>107</v>
      </c>
      <c r="AZ8" s="35" t="str">
        <f t="shared" si="3"/>
        <v>妖精</v>
      </c>
      <c r="BA8" s="35" t="str">
        <f t="shared" si="4"/>
        <v>エルフ</v>
      </c>
      <c r="BB8" s="35">
        <f t="shared" si="5"/>
        <v>285</v>
      </c>
      <c r="BC8" s="36">
        <f t="shared" si="6"/>
        <v>0.75</v>
      </c>
      <c r="BD8" s="35">
        <f t="shared" si="7"/>
        <v>11</v>
      </c>
      <c r="BE8" s="35" t="str">
        <f t="shared" si="8"/>
        <v>-</v>
      </c>
      <c r="BG8" s="35">
        <v>4</v>
      </c>
      <c r="BH8" s="35" t="s">
        <v>38</v>
      </c>
      <c r="BI8" s="104">
        <v>7</v>
      </c>
      <c r="BJ8" s="104"/>
      <c r="BK8" s="104">
        <f t="shared" si="10"/>
        <v>7</v>
      </c>
    </row>
    <row r="9" spans="2:63" ht="12" customHeight="1">
      <c r="B9" s="21" t="s">
        <v>213</v>
      </c>
      <c r="C9" s="22"/>
      <c r="D9" s="23"/>
      <c r="F9" s="31"/>
      <c r="G9" s="139"/>
      <c r="H9" s="140"/>
      <c r="I9" s="28" t="s">
        <v>61</v>
      </c>
      <c r="J9" s="56">
        <v>0.2</v>
      </c>
      <c r="K9" s="55">
        <f>SUM(J9,G7)</f>
        <v>0.4</v>
      </c>
      <c r="AM9">
        <f t="shared" si="9"/>
        <v>1</v>
      </c>
      <c r="AN9">
        <f t="shared" si="0"/>
        <v>8</v>
      </c>
      <c r="AO9" s="30">
        <f t="shared" si="1"/>
        <v>108</v>
      </c>
      <c r="AP9" s="7"/>
      <c r="AQ9" s="8" t="s">
        <v>9</v>
      </c>
      <c r="AR9" s="8" t="s">
        <v>14</v>
      </c>
      <c r="AS9" s="8">
        <v>368</v>
      </c>
      <c r="AT9" s="9">
        <v>1</v>
      </c>
      <c r="AU9" s="125">
        <v>10</v>
      </c>
      <c r="AV9" s="10" t="s">
        <v>183</v>
      </c>
      <c r="AX9" s="35">
        <v>8</v>
      </c>
      <c r="AY9" s="35">
        <f t="shared" si="2"/>
        <v>108</v>
      </c>
      <c r="AZ9" s="35" t="str">
        <f t="shared" si="3"/>
        <v>妖精</v>
      </c>
      <c r="BA9" s="35" t="str">
        <f t="shared" si="4"/>
        <v>トロール</v>
      </c>
      <c r="BB9" s="35">
        <f t="shared" si="5"/>
        <v>368</v>
      </c>
      <c r="BC9" s="36">
        <f t="shared" si="6"/>
        <v>1</v>
      </c>
      <c r="BD9" s="35">
        <f t="shared" si="7"/>
        <v>10</v>
      </c>
      <c r="BE9" s="35" t="str">
        <f t="shared" si="8"/>
        <v>-</v>
      </c>
      <c r="BG9" s="35">
        <v>5</v>
      </c>
      <c r="BH9" s="35" t="s">
        <v>53</v>
      </c>
      <c r="BI9" s="104">
        <v>7</v>
      </c>
      <c r="BJ9" s="104">
        <v>-1</v>
      </c>
      <c r="BK9" s="104">
        <f t="shared" si="10"/>
        <v>6</v>
      </c>
    </row>
    <row r="10" spans="2:63" ht="12" customHeight="1">
      <c r="B10" s="130">
        <v>1</v>
      </c>
      <c r="C10" s="131"/>
      <c r="D10" s="132"/>
      <c r="F10" s="29" t="s">
        <v>151</v>
      </c>
      <c r="G10" s="135">
        <v>0.2</v>
      </c>
      <c r="H10" s="136"/>
      <c r="I10" s="28" t="s">
        <v>17</v>
      </c>
      <c r="J10" s="56">
        <v>0.2</v>
      </c>
      <c r="K10" s="55">
        <f>SUM(J10,G10)</f>
        <v>0.4</v>
      </c>
      <c r="AM10">
        <f t="shared" si="9"/>
        <v>1</v>
      </c>
      <c r="AN10">
        <f t="shared" si="0"/>
        <v>9</v>
      </c>
      <c r="AO10" s="30">
        <f t="shared" si="1"/>
        <v>109</v>
      </c>
      <c r="AP10" s="7"/>
      <c r="AQ10" s="8" t="s">
        <v>9</v>
      </c>
      <c r="AR10" s="8" t="s">
        <v>15</v>
      </c>
      <c r="AS10" s="8">
        <v>462</v>
      </c>
      <c r="AT10" s="9">
        <v>0.75</v>
      </c>
      <c r="AU10" s="125">
        <v>15</v>
      </c>
      <c r="AV10" s="10" t="s">
        <v>183</v>
      </c>
      <c r="AX10" s="35">
        <v>9</v>
      </c>
      <c r="AY10" s="35">
        <f t="shared" si="2"/>
        <v>109</v>
      </c>
      <c r="AZ10" s="35" t="str">
        <f t="shared" si="3"/>
        <v>妖精</v>
      </c>
      <c r="BA10" s="35" t="str">
        <f t="shared" si="4"/>
        <v>オベロン</v>
      </c>
      <c r="BB10" s="35">
        <f t="shared" si="5"/>
        <v>462</v>
      </c>
      <c r="BC10" s="36">
        <f t="shared" si="6"/>
        <v>0.75</v>
      </c>
      <c r="BD10" s="35">
        <f t="shared" si="7"/>
        <v>15</v>
      </c>
      <c r="BE10" s="35" t="str">
        <f t="shared" si="8"/>
        <v>-</v>
      </c>
      <c r="BG10" s="35">
        <v>6</v>
      </c>
      <c r="BH10" s="35" t="s">
        <v>121</v>
      </c>
      <c r="BI10" s="104">
        <v>7</v>
      </c>
      <c r="BJ10" s="104"/>
      <c r="BK10" s="104">
        <f t="shared" si="10"/>
        <v>7</v>
      </c>
    </row>
    <row r="11" spans="2:63" ht="12" customHeight="1">
      <c r="F11" s="30"/>
      <c r="G11" s="137"/>
      <c r="H11" s="138"/>
      <c r="I11" s="28" t="s">
        <v>75</v>
      </c>
      <c r="J11" s="56">
        <v>0.2</v>
      </c>
      <c r="K11" s="55">
        <f>SUM(J11,G10)</f>
        <v>0.4</v>
      </c>
      <c r="AM11">
        <f t="shared" si="9"/>
        <v>1</v>
      </c>
      <c r="AN11">
        <f t="shared" si="0"/>
        <v>10</v>
      </c>
      <c r="AO11" s="31">
        <f t="shared" si="1"/>
        <v>110</v>
      </c>
      <c r="AP11" s="11"/>
      <c r="AQ11" s="12" t="s">
        <v>9</v>
      </c>
      <c r="AR11" s="12" t="s">
        <v>26</v>
      </c>
      <c r="AS11" s="12">
        <v>459</v>
      </c>
      <c r="AT11" s="13">
        <v>0.75</v>
      </c>
      <c r="AU11" s="126">
        <v>21</v>
      </c>
      <c r="AV11" s="14" t="s">
        <v>183</v>
      </c>
      <c r="AX11" s="37">
        <v>10</v>
      </c>
      <c r="AY11" s="37">
        <f t="shared" si="2"/>
        <v>110</v>
      </c>
      <c r="AZ11" s="37" t="str">
        <f t="shared" si="3"/>
        <v>妖精</v>
      </c>
      <c r="BA11" s="37" t="str">
        <f t="shared" si="4"/>
        <v>ティターニア</v>
      </c>
      <c r="BB11" s="37">
        <f t="shared" si="5"/>
        <v>459</v>
      </c>
      <c r="BC11" s="38">
        <f t="shared" si="6"/>
        <v>0.75</v>
      </c>
      <c r="BD11" s="37">
        <f t="shared" si="7"/>
        <v>21</v>
      </c>
      <c r="BE11" s="37" t="str">
        <f t="shared" si="8"/>
        <v>-</v>
      </c>
      <c r="BG11" s="35">
        <v>7</v>
      </c>
      <c r="BH11" s="35" t="s">
        <v>61</v>
      </c>
      <c r="BI11" s="104">
        <v>5</v>
      </c>
      <c r="BJ11" s="104"/>
      <c r="BK11" s="104">
        <f t="shared" si="10"/>
        <v>5</v>
      </c>
    </row>
    <row r="12" spans="2:63">
      <c r="F12" s="31"/>
      <c r="G12" s="139"/>
      <c r="H12" s="140"/>
      <c r="I12" s="28" t="s">
        <v>67</v>
      </c>
      <c r="J12" s="56">
        <v>0.2</v>
      </c>
      <c r="K12" s="55">
        <f>SUM(J12,G10)</f>
        <v>0.4</v>
      </c>
      <c r="AM12">
        <f t="shared" si="9"/>
        <v>2</v>
      </c>
      <c r="AN12">
        <f t="shared" si="0"/>
        <v>1</v>
      </c>
      <c r="AO12" s="29">
        <f t="shared" si="1"/>
        <v>201</v>
      </c>
      <c r="AP12" s="3"/>
      <c r="AQ12" s="4" t="s">
        <v>17</v>
      </c>
      <c r="AR12" s="4" t="s">
        <v>18</v>
      </c>
      <c r="AS12" s="4">
        <v>120</v>
      </c>
      <c r="AT12" s="5">
        <v>0.75</v>
      </c>
      <c r="AU12" s="124">
        <v>9</v>
      </c>
      <c r="AV12" s="6" t="s">
        <v>183</v>
      </c>
      <c r="BG12" s="35">
        <v>8</v>
      </c>
      <c r="BH12" s="35" t="s">
        <v>46</v>
      </c>
      <c r="BI12" s="104">
        <v>8</v>
      </c>
      <c r="BJ12" s="104">
        <v>-1</v>
      </c>
      <c r="BK12" s="104">
        <f t="shared" si="10"/>
        <v>7</v>
      </c>
    </row>
    <row r="13" spans="2:63">
      <c r="F13" s="29" t="s">
        <v>143</v>
      </c>
      <c r="G13" s="135">
        <v>0.2</v>
      </c>
      <c r="H13" s="136"/>
      <c r="I13" s="28" t="s">
        <v>71</v>
      </c>
      <c r="J13" s="56">
        <v>0.2</v>
      </c>
      <c r="K13" s="55">
        <f>SUM(J13,G13)</f>
        <v>0.4</v>
      </c>
      <c r="AM13">
        <f t="shared" si="9"/>
        <v>2</v>
      </c>
      <c r="AN13">
        <f t="shared" si="0"/>
        <v>2</v>
      </c>
      <c r="AO13" s="30">
        <f t="shared" si="1"/>
        <v>202</v>
      </c>
      <c r="AP13" s="7"/>
      <c r="AQ13" s="8" t="s">
        <v>17</v>
      </c>
      <c r="AR13" s="8" t="s">
        <v>19</v>
      </c>
      <c r="AS13" s="8">
        <v>130</v>
      </c>
      <c r="AT13" s="9">
        <v>0.5</v>
      </c>
      <c r="AU13" s="125">
        <v>12</v>
      </c>
      <c r="AV13" s="10" t="s">
        <v>183</v>
      </c>
      <c r="BG13" s="35">
        <v>9</v>
      </c>
      <c r="BH13" s="35" t="s">
        <v>75</v>
      </c>
      <c r="BI13" s="104">
        <v>13</v>
      </c>
      <c r="BJ13" s="104">
        <v>-4</v>
      </c>
      <c r="BK13" s="104">
        <f t="shared" si="10"/>
        <v>9</v>
      </c>
    </row>
    <row r="14" spans="2:63">
      <c r="F14" s="31"/>
      <c r="G14" s="139"/>
      <c r="H14" s="140"/>
      <c r="I14" s="28" t="s">
        <v>119</v>
      </c>
      <c r="J14" s="56">
        <v>0.2</v>
      </c>
      <c r="K14" s="55">
        <f>SUM(J14,G13)</f>
        <v>0.4</v>
      </c>
      <c r="AM14">
        <f t="shared" si="9"/>
        <v>2</v>
      </c>
      <c r="AN14">
        <f t="shared" si="0"/>
        <v>3</v>
      </c>
      <c r="AO14" s="30">
        <f t="shared" si="1"/>
        <v>203</v>
      </c>
      <c r="AP14" s="7"/>
      <c r="AQ14" s="8" t="s">
        <v>17</v>
      </c>
      <c r="AR14" s="8" t="s">
        <v>20</v>
      </c>
      <c r="AS14" s="8">
        <v>149</v>
      </c>
      <c r="AT14" s="9">
        <v>0.75</v>
      </c>
      <c r="AU14" s="125">
        <v>6</v>
      </c>
      <c r="AV14" s="10" t="s">
        <v>183</v>
      </c>
      <c r="AX14" s="33">
        <v>1</v>
      </c>
      <c r="AY14" s="33" t="str">
        <f t="shared" ref="AY14:AY20" si="11">IF(ABS(BJ$2)&lt;AX14,"-",MAX($AY$2:$AY$11)+AX14)</f>
        <v>-</v>
      </c>
      <c r="AZ14" s="33" t="e">
        <f t="shared" ref="AZ14:AZ20" si="12">LOOKUP($AY14,$AO:$AO,AQ:AQ)</f>
        <v>#N/A</v>
      </c>
      <c r="BA14" s="33" t="str">
        <f t="shared" ref="BA14:BE20" si="13">IF(ISERROR(AZ14),"-",LOOKUP($AY14,$AO:$AO,AR:AR))</f>
        <v>-</v>
      </c>
      <c r="BB14" s="33" t="e">
        <f t="shared" si="13"/>
        <v>#N/A</v>
      </c>
      <c r="BC14" s="34" t="str">
        <f t="shared" si="13"/>
        <v>-</v>
      </c>
      <c r="BD14" s="33" t="e">
        <f t="shared" si="13"/>
        <v>#N/A</v>
      </c>
      <c r="BE14" s="33" t="str">
        <f t="shared" si="13"/>
        <v>-</v>
      </c>
      <c r="BG14" s="35">
        <v>10</v>
      </c>
      <c r="BH14" s="35" t="s">
        <v>120</v>
      </c>
      <c r="BI14" s="104">
        <v>7</v>
      </c>
      <c r="BJ14" s="104"/>
      <c r="BK14" s="104">
        <f t="shared" si="10"/>
        <v>7</v>
      </c>
    </row>
    <row r="15" spans="2:63">
      <c r="F15" s="29" t="s">
        <v>149</v>
      </c>
      <c r="G15" s="135">
        <v>0.2</v>
      </c>
      <c r="H15" s="136"/>
      <c r="I15" s="28" t="s">
        <v>120</v>
      </c>
      <c r="J15" s="56">
        <v>0.2</v>
      </c>
      <c r="K15" s="55">
        <f>SUM(J15,G15)</f>
        <v>0.4</v>
      </c>
      <c r="AM15">
        <f t="shared" si="9"/>
        <v>2</v>
      </c>
      <c r="AN15">
        <f t="shared" si="0"/>
        <v>4</v>
      </c>
      <c r="AO15" s="30">
        <f t="shared" si="1"/>
        <v>204</v>
      </c>
      <c r="AP15" s="7"/>
      <c r="AQ15" s="8" t="s">
        <v>17</v>
      </c>
      <c r="AR15" s="8" t="s">
        <v>21</v>
      </c>
      <c r="AS15" s="8">
        <v>165</v>
      </c>
      <c r="AT15" s="9">
        <v>0.75</v>
      </c>
      <c r="AU15" s="125">
        <v>10</v>
      </c>
      <c r="AV15" s="10" t="s">
        <v>183</v>
      </c>
      <c r="AX15" s="35">
        <v>2</v>
      </c>
      <c r="AY15" s="35" t="str">
        <f t="shared" si="11"/>
        <v>-</v>
      </c>
      <c r="AZ15" s="35" t="e">
        <f t="shared" si="12"/>
        <v>#N/A</v>
      </c>
      <c r="BA15" s="35" t="str">
        <f t="shared" si="13"/>
        <v>-</v>
      </c>
      <c r="BB15" s="35" t="e">
        <f t="shared" si="13"/>
        <v>#N/A</v>
      </c>
      <c r="BC15" s="36" t="str">
        <f t="shared" si="13"/>
        <v>-</v>
      </c>
      <c r="BD15" s="35" t="e">
        <f t="shared" si="13"/>
        <v>#N/A</v>
      </c>
      <c r="BE15" s="35" t="str">
        <f t="shared" si="13"/>
        <v>-</v>
      </c>
      <c r="BG15" s="35">
        <v>11</v>
      </c>
      <c r="BH15" s="35" t="s">
        <v>67</v>
      </c>
      <c r="BI15" s="104">
        <v>6</v>
      </c>
      <c r="BJ15" s="104"/>
      <c r="BK15" s="104">
        <f t="shared" si="10"/>
        <v>6</v>
      </c>
    </row>
    <row r="16" spans="2:63">
      <c r="F16" s="31"/>
      <c r="G16" s="139"/>
      <c r="H16" s="140"/>
      <c r="I16" s="28" t="s">
        <v>124</v>
      </c>
      <c r="J16" s="56">
        <v>0.2</v>
      </c>
      <c r="K16" s="55">
        <f>SUM(J16,G15)</f>
        <v>0.4</v>
      </c>
      <c r="AM16">
        <f t="shared" si="9"/>
        <v>2</v>
      </c>
      <c r="AN16">
        <f t="shared" si="0"/>
        <v>5</v>
      </c>
      <c r="AO16" s="30">
        <f t="shared" si="1"/>
        <v>205</v>
      </c>
      <c r="AP16" s="7"/>
      <c r="AQ16" s="8" t="s">
        <v>17</v>
      </c>
      <c r="AR16" s="8" t="s">
        <v>22</v>
      </c>
      <c r="AS16" s="8">
        <v>210</v>
      </c>
      <c r="AT16" s="9">
        <v>0.75</v>
      </c>
      <c r="AU16" s="125">
        <v>7</v>
      </c>
      <c r="AV16" s="10" t="s">
        <v>183</v>
      </c>
      <c r="AX16" s="35">
        <v>3</v>
      </c>
      <c r="AY16" s="35" t="str">
        <f t="shared" si="11"/>
        <v>-</v>
      </c>
      <c r="AZ16" s="35" t="e">
        <f t="shared" si="12"/>
        <v>#N/A</v>
      </c>
      <c r="BA16" s="35" t="str">
        <f t="shared" si="13"/>
        <v>-</v>
      </c>
      <c r="BB16" s="35" t="e">
        <f t="shared" si="13"/>
        <v>#N/A</v>
      </c>
      <c r="BC16" s="36" t="str">
        <f t="shared" si="13"/>
        <v>-</v>
      </c>
      <c r="BD16" s="35" t="e">
        <f t="shared" si="13"/>
        <v>#N/A</v>
      </c>
      <c r="BE16" s="35" t="str">
        <f t="shared" si="13"/>
        <v>-</v>
      </c>
      <c r="BG16" s="35">
        <v>12</v>
      </c>
      <c r="BH16" s="35" t="s">
        <v>71</v>
      </c>
      <c r="BI16" s="104">
        <v>3</v>
      </c>
      <c r="BJ16" s="104"/>
      <c r="BK16" s="104">
        <f t="shared" si="10"/>
        <v>3</v>
      </c>
    </row>
    <row r="17" spans="1:63">
      <c r="F17" s="28" t="s">
        <v>145</v>
      </c>
      <c r="G17" s="133">
        <v>0.2</v>
      </c>
      <c r="H17" s="134"/>
      <c r="I17" s="28" t="s">
        <v>53</v>
      </c>
      <c r="J17" s="56">
        <v>0.2</v>
      </c>
      <c r="K17" s="55">
        <f>SUM(J17,G17)</f>
        <v>0.4</v>
      </c>
      <c r="AM17">
        <f t="shared" si="9"/>
        <v>2</v>
      </c>
      <c r="AN17">
        <f t="shared" si="0"/>
        <v>6</v>
      </c>
      <c r="AO17" s="30">
        <f t="shared" si="1"/>
        <v>206</v>
      </c>
      <c r="AP17" s="7"/>
      <c r="AQ17" s="8" t="s">
        <v>17</v>
      </c>
      <c r="AR17" s="8" t="s">
        <v>23</v>
      </c>
      <c r="AS17" s="8">
        <v>255</v>
      </c>
      <c r="AT17" s="9">
        <v>0.75</v>
      </c>
      <c r="AU17" s="125">
        <v>5</v>
      </c>
      <c r="AV17" s="10" t="s">
        <v>183</v>
      </c>
      <c r="AX17" s="35">
        <v>4</v>
      </c>
      <c r="AY17" s="35" t="str">
        <f t="shared" si="11"/>
        <v>-</v>
      </c>
      <c r="AZ17" s="35" t="e">
        <f t="shared" si="12"/>
        <v>#N/A</v>
      </c>
      <c r="BA17" s="35" t="str">
        <f t="shared" si="13"/>
        <v>-</v>
      </c>
      <c r="BB17" s="35" t="e">
        <f t="shared" si="13"/>
        <v>#N/A</v>
      </c>
      <c r="BC17" s="36" t="str">
        <f t="shared" si="13"/>
        <v>-</v>
      </c>
      <c r="BD17" s="35" t="e">
        <f t="shared" si="13"/>
        <v>#N/A</v>
      </c>
      <c r="BE17" s="35" t="str">
        <f t="shared" si="13"/>
        <v>-</v>
      </c>
      <c r="BG17" s="35">
        <v>13</v>
      </c>
      <c r="BH17" s="35" t="s">
        <v>119</v>
      </c>
      <c r="BI17" s="104">
        <v>7</v>
      </c>
      <c r="BJ17" s="104"/>
      <c r="BK17" s="104">
        <f t="shared" si="10"/>
        <v>7</v>
      </c>
    </row>
    <row r="18" spans="1:63">
      <c r="F18" s="28" t="s">
        <v>148</v>
      </c>
      <c r="G18" s="133">
        <v>0.2</v>
      </c>
      <c r="H18" s="134"/>
      <c r="I18" s="28" t="s">
        <v>121</v>
      </c>
      <c r="J18" s="56">
        <v>0.2</v>
      </c>
      <c r="K18" s="55">
        <f>SUM(J18,G18)</f>
        <v>0.4</v>
      </c>
      <c r="AM18">
        <f t="shared" si="9"/>
        <v>2</v>
      </c>
      <c r="AN18">
        <f t="shared" si="0"/>
        <v>7</v>
      </c>
      <c r="AO18" s="30">
        <f t="shared" si="1"/>
        <v>207</v>
      </c>
      <c r="AP18" s="7"/>
      <c r="AQ18" s="8" t="s">
        <v>17</v>
      </c>
      <c r="AR18" s="8" t="s">
        <v>24</v>
      </c>
      <c r="AS18" s="8">
        <v>540</v>
      </c>
      <c r="AT18" s="9">
        <v>2</v>
      </c>
      <c r="AU18" s="125">
        <v>11</v>
      </c>
      <c r="AV18" s="10" t="s">
        <v>183</v>
      </c>
      <c r="AX18" s="35">
        <v>5</v>
      </c>
      <c r="AY18" s="35" t="str">
        <f t="shared" si="11"/>
        <v>-</v>
      </c>
      <c r="AZ18" s="35" t="e">
        <f t="shared" si="12"/>
        <v>#N/A</v>
      </c>
      <c r="BA18" s="35" t="str">
        <f t="shared" si="13"/>
        <v>-</v>
      </c>
      <c r="BB18" s="35" t="e">
        <f t="shared" si="13"/>
        <v>#N/A</v>
      </c>
      <c r="BC18" s="36" t="str">
        <f t="shared" si="13"/>
        <v>-</v>
      </c>
      <c r="BD18" s="35" t="e">
        <f t="shared" si="13"/>
        <v>#N/A</v>
      </c>
      <c r="BE18" s="35" t="str">
        <f t="shared" si="13"/>
        <v>-</v>
      </c>
      <c r="BG18" s="35">
        <v>14</v>
      </c>
      <c r="BH18" s="35" t="s">
        <v>122</v>
      </c>
      <c r="BI18" s="104">
        <v>4</v>
      </c>
      <c r="BJ18" s="104"/>
      <c r="BK18" s="104">
        <f t="shared" si="10"/>
        <v>4</v>
      </c>
    </row>
    <row r="19" spans="1:63">
      <c r="F19" s="28" t="s">
        <v>144</v>
      </c>
      <c r="G19" s="133">
        <v>0.2</v>
      </c>
      <c r="H19" s="134"/>
      <c r="I19" s="28" t="s">
        <v>122</v>
      </c>
      <c r="J19" s="56">
        <v>0.2</v>
      </c>
      <c r="K19" s="55">
        <f>SUM(J19,G19)</f>
        <v>0.4</v>
      </c>
      <c r="AM19">
        <f t="shared" si="9"/>
        <v>2</v>
      </c>
      <c r="AN19">
        <f t="shared" si="0"/>
        <v>8</v>
      </c>
      <c r="AO19" s="31">
        <f t="shared" si="1"/>
        <v>208</v>
      </c>
      <c r="AP19" s="11"/>
      <c r="AQ19" s="12" t="s">
        <v>17</v>
      </c>
      <c r="AR19" s="12" t="s">
        <v>25</v>
      </c>
      <c r="AS19" s="12">
        <v>916</v>
      </c>
      <c r="AT19" s="13">
        <v>2</v>
      </c>
      <c r="AU19" s="126">
        <v>15</v>
      </c>
      <c r="AV19" s="14" t="s">
        <v>183</v>
      </c>
      <c r="AX19" s="35">
        <v>6</v>
      </c>
      <c r="AY19" s="35" t="str">
        <f t="shared" si="11"/>
        <v>-</v>
      </c>
      <c r="AZ19" s="35" t="e">
        <f t="shared" si="12"/>
        <v>#N/A</v>
      </c>
      <c r="BA19" s="35" t="str">
        <f t="shared" si="13"/>
        <v>-</v>
      </c>
      <c r="BB19" s="35" t="e">
        <f t="shared" si="13"/>
        <v>#N/A</v>
      </c>
      <c r="BC19" s="36" t="str">
        <f t="shared" si="13"/>
        <v>-</v>
      </c>
      <c r="BD19" s="35" t="e">
        <f t="shared" si="13"/>
        <v>#N/A</v>
      </c>
      <c r="BE19" s="35" t="str">
        <f t="shared" si="13"/>
        <v>-</v>
      </c>
      <c r="BG19" s="35">
        <v>15</v>
      </c>
      <c r="BH19" s="35" t="s">
        <v>123</v>
      </c>
      <c r="BI19" s="104">
        <v>5</v>
      </c>
      <c r="BJ19" s="104"/>
      <c r="BK19" s="104">
        <f t="shared" si="10"/>
        <v>5</v>
      </c>
    </row>
    <row r="20" spans="1:63">
      <c r="AM20">
        <f t="shared" si="9"/>
        <v>3</v>
      </c>
      <c r="AN20">
        <f t="shared" si="0"/>
        <v>1</v>
      </c>
      <c r="AO20" s="29">
        <f t="shared" si="1"/>
        <v>301</v>
      </c>
      <c r="AP20" s="3"/>
      <c r="AQ20" s="4" t="s">
        <v>30</v>
      </c>
      <c r="AR20" s="4" t="s">
        <v>31</v>
      </c>
      <c r="AS20" s="4">
        <v>180</v>
      </c>
      <c r="AT20" s="5">
        <v>1</v>
      </c>
      <c r="AU20" s="124">
        <v>1</v>
      </c>
      <c r="AV20" s="6" t="s">
        <v>183</v>
      </c>
      <c r="AX20" s="37">
        <v>7</v>
      </c>
      <c r="AY20" s="37" t="str">
        <f t="shared" si="11"/>
        <v>-</v>
      </c>
      <c r="AZ20" s="37" t="e">
        <f t="shared" si="12"/>
        <v>#N/A</v>
      </c>
      <c r="BA20" s="37" t="str">
        <f t="shared" si="13"/>
        <v>-</v>
      </c>
      <c r="BB20" s="37" t="e">
        <f t="shared" si="13"/>
        <v>#N/A</v>
      </c>
      <c r="BC20" s="38" t="str">
        <f t="shared" si="13"/>
        <v>-</v>
      </c>
      <c r="BD20" s="37" t="e">
        <f t="shared" si="13"/>
        <v>#N/A</v>
      </c>
      <c r="BE20" s="37" t="str">
        <f t="shared" si="13"/>
        <v>-</v>
      </c>
      <c r="BG20" s="37">
        <v>16</v>
      </c>
      <c r="BH20" s="37" t="s">
        <v>124</v>
      </c>
      <c r="BI20" s="105">
        <v>4</v>
      </c>
      <c r="BJ20" s="105"/>
      <c r="BK20" s="105">
        <f t="shared" si="10"/>
        <v>4</v>
      </c>
    </row>
    <row r="21" spans="1:63">
      <c r="AM21">
        <f t="shared" si="9"/>
        <v>3</v>
      </c>
      <c r="AN21">
        <f t="shared" si="0"/>
        <v>2</v>
      </c>
      <c r="AO21" s="30">
        <f t="shared" si="1"/>
        <v>302</v>
      </c>
      <c r="AP21" s="7"/>
      <c r="AQ21" s="8" t="s">
        <v>30</v>
      </c>
      <c r="AR21" s="8" t="s">
        <v>32</v>
      </c>
      <c r="AS21" s="8">
        <v>232</v>
      </c>
      <c r="AT21" s="9">
        <v>0.65</v>
      </c>
      <c r="AU21" s="125">
        <v>4</v>
      </c>
      <c r="AV21" s="10" t="s">
        <v>183</v>
      </c>
    </row>
    <row r="22" spans="1:63">
      <c r="AM22">
        <f t="shared" si="9"/>
        <v>3</v>
      </c>
      <c r="AN22">
        <f t="shared" si="0"/>
        <v>3</v>
      </c>
      <c r="AO22" s="30">
        <f t="shared" si="1"/>
        <v>303</v>
      </c>
      <c r="AP22" s="7"/>
      <c r="AQ22" s="8" t="s">
        <v>30</v>
      </c>
      <c r="AR22" s="8" t="s">
        <v>33</v>
      </c>
      <c r="AS22" s="8">
        <v>278</v>
      </c>
      <c r="AT22" s="9">
        <v>1</v>
      </c>
      <c r="AU22" s="125">
        <v>3</v>
      </c>
      <c r="AV22" s="10" t="s">
        <v>183</v>
      </c>
    </row>
    <row r="23" spans="1:63">
      <c r="AM23">
        <f t="shared" si="9"/>
        <v>3</v>
      </c>
      <c r="AN23">
        <f t="shared" si="0"/>
        <v>4</v>
      </c>
      <c r="AO23" s="30">
        <f t="shared" si="1"/>
        <v>304</v>
      </c>
      <c r="AP23" s="7"/>
      <c r="AQ23" s="8" t="s">
        <v>30</v>
      </c>
      <c r="AR23" s="8" t="s">
        <v>34</v>
      </c>
      <c r="AS23" s="8">
        <v>325</v>
      </c>
      <c r="AT23" s="9">
        <v>0.5</v>
      </c>
      <c r="AU23" s="125">
        <v>14</v>
      </c>
      <c r="AV23" s="10" t="s">
        <v>183</v>
      </c>
    </row>
    <row r="24" spans="1:63">
      <c r="B24" s="24"/>
      <c r="C24" s="4"/>
      <c r="D24" s="4"/>
      <c r="E24" s="4"/>
      <c r="F24" s="92"/>
      <c r="G24" s="27"/>
      <c r="H24" s="93"/>
      <c r="I24" s="74" t="s">
        <v>160</v>
      </c>
      <c r="J24" s="75"/>
      <c r="K24" s="75"/>
      <c r="L24" s="76"/>
      <c r="W24" s="52" t="s">
        <v>3</v>
      </c>
      <c r="X24" s="52"/>
      <c r="Y24" s="52"/>
      <c r="Z24" s="39">
        <v>1.5</v>
      </c>
      <c r="AA24" s="46">
        <v>1.2</v>
      </c>
      <c r="AB24" s="41">
        <v>0.99</v>
      </c>
      <c r="AC24" s="43">
        <v>0.8</v>
      </c>
      <c r="AD24" s="45"/>
      <c r="AE24" s="48" t="s">
        <v>135</v>
      </c>
      <c r="AF24" s="49" t="s">
        <v>134</v>
      </c>
      <c r="AG24" s="50" t="s">
        <v>152</v>
      </c>
      <c r="AH24" s="51" t="s">
        <v>133</v>
      </c>
      <c r="AI24" s="61"/>
      <c r="AJ24" s="61"/>
      <c r="AM24">
        <f t="shared" si="9"/>
        <v>3</v>
      </c>
      <c r="AN24">
        <f t="shared" si="0"/>
        <v>5</v>
      </c>
      <c r="AO24" s="30">
        <f t="shared" si="1"/>
        <v>305</v>
      </c>
      <c r="AP24" s="7"/>
      <c r="AQ24" s="8" t="s">
        <v>30</v>
      </c>
      <c r="AR24" s="8" t="s">
        <v>35</v>
      </c>
      <c r="AS24" s="8">
        <v>376</v>
      </c>
      <c r="AT24" s="9">
        <v>0.5</v>
      </c>
      <c r="AU24" s="125">
        <v>10</v>
      </c>
      <c r="AV24" s="10" t="s">
        <v>183</v>
      </c>
    </row>
    <row r="25" spans="1:63">
      <c r="B25" s="25"/>
      <c r="C25" s="8"/>
      <c r="D25" s="8"/>
      <c r="E25" s="8"/>
      <c r="F25" s="94" t="s">
        <v>10</v>
      </c>
      <c r="G25" s="8" t="s">
        <v>187</v>
      </c>
      <c r="H25" s="95" t="s">
        <v>16</v>
      </c>
      <c r="I25" s="66" t="s">
        <v>161</v>
      </c>
      <c r="J25" s="66" t="s">
        <v>162</v>
      </c>
      <c r="K25" s="64" t="s">
        <v>163</v>
      </c>
      <c r="L25" s="77"/>
      <c r="N25" t="s">
        <v>7</v>
      </c>
      <c r="O25" t="s">
        <v>1</v>
      </c>
      <c r="P25" t="s">
        <v>2</v>
      </c>
      <c r="Q25" t="s">
        <v>8</v>
      </c>
      <c r="R25" t="s">
        <v>6</v>
      </c>
      <c r="S25" t="s">
        <v>140</v>
      </c>
      <c r="W25" s="52" t="s">
        <v>153</v>
      </c>
      <c r="X25" s="52"/>
      <c r="Y25" s="52"/>
      <c r="Z25" s="39" t="s">
        <v>136</v>
      </c>
      <c r="AA25" s="46" t="s">
        <v>137</v>
      </c>
      <c r="AB25" s="41" t="s">
        <v>138</v>
      </c>
      <c r="AC25" s="43" t="s">
        <v>139</v>
      </c>
      <c r="AD25" s="45" t="s">
        <v>128</v>
      </c>
      <c r="AE25" s="48" t="s">
        <v>132</v>
      </c>
      <c r="AF25" s="49" t="s">
        <v>131</v>
      </c>
      <c r="AG25" s="50" t="s">
        <v>130</v>
      </c>
      <c r="AH25" s="51" t="s">
        <v>129</v>
      </c>
      <c r="AI25" s="62" t="s">
        <v>171</v>
      </c>
      <c r="AJ25" s="62" t="s">
        <v>172</v>
      </c>
      <c r="AM25">
        <f t="shared" si="9"/>
        <v>3</v>
      </c>
      <c r="AN25">
        <f t="shared" si="0"/>
        <v>6</v>
      </c>
      <c r="AO25" s="30">
        <f t="shared" si="1"/>
        <v>306</v>
      </c>
      <c r="AP25" s="7"/>
      <c r="AQ25" s="8" t="s">
        <v>30</v>
      </c>
      <c r="AR25" s="8" t="s">
        <v>36</v>
      </c>
      <c r="AS25" s="8">
        <v>1153</v>
      </c>
      <c r="AT25" s="9">
        <v>1</v>
      </c>
      <c r="AU25" s="125">
        <v>30</v>
      </c>
      <c r="AV25" s="10" t="s">
        <v>183</v>
      </c>
    </row>
    <row r="26" spans="1:63">
      <c r="B26" s="91" t="str">
        <f>BH2</f>
        <v>妖精</v>
      </c>
      <c r="C26" s="69"/>
      <c r="D26" s="69"/>
      <c r="E26" s="69"/>
      <c r="F26" s="96"/>
      <c r="G26" s="69"/>
      <c r="H26" s="97"/>
      <c r="I26" s="71"/>
      <c r="J26" s="71"/>
      <c r="K26" s="72" t="s">
        <v>158</v>
      </c>
      <c r="L26" s="78" t="s">
        <v>159</v>
      </c>
      <c r="P26" s="1"/>
      <c r="W26" s="52"/>
      <c r="X26" s="52"/>
      <c r="Y26" s="52"/>
      <c r="Z26" s="40">
        <f>Z27</f>
        <v>360</v>
      </c>
      <c r="AA26" s="47">
        <f>AA27</f>
        <v>205</v>
      </c>
      <c r="AB26" s="42">
        <f>AB27</f>
        <v>156</v>
      </c>
      <c r="AC26" s="44">
        <f>AC27</f>
        <v>126</v>
      </c>
      <c r="AD26" s="45"/>
      <c r="AE26" s="48"/>
      <c r="AF26" s="49"/>
      <c r="AG26" s="50"/>
      <c r="AH26" s="51"/>
      <c r="AI26" s="63"/>
      <c r="AJ26" s="63"/>
      <c r="AM26">
        <f t="shared" si="9"/>
        <v>3</v>
      </c>
      <c r="AN26">
        <f t="shared" si="0"/>
        <v>7</v>
      </c>
      <c r="AO26" s="31">
        <f t="shared" si="1"/>
        <v>307</v>
      </c>
      <c r="AP26" s="11"/>
      <c r="AQ26" s="12" t="s">
        <v>30</v>
      </c>
      <c r="AR26" s="12" t="s">
        <v>37</v>
      </c>
      <c r="AS26" s="12">
        <v>1210</v>
      </c>
      <c r="AT26" s="13">
        <v>0.5</v>
      </c>
      <c r="AU26" s="126">
        <v>23</v>
      </c>
      <c r="AV26" s="14" t="s">
        <v>183</v>
      </c>
    </row>
    <row r="27" spans="1:63">
      <c r="A27" s="54">
        <f>南国ビーチ用!AY2</f>
        <v>101</v>
      </c>
      <c r="B27" s="79"/>
      <c r="C27" s="80" t="str">
        <f>南国ビーチ用!BE2</f>
        <v>-</v>
      </c>
      <c r="D27" s="8" t="str">
        <f>南国ビーチ用!BA2</f>
        <v>ピクシー</v>
      </c>
      <c r="E27" s="8"/>
      <c r="F27" s="65">
        <f t="shared" ref="F27:F36" si="14">IF($A27="-","-",O27)</f>
        <v>75</v>
      </c>
      <c r="G27" s="8" t="s">
        <v>187</v>
      </c>
      <c r="H27" s="98">
        <f>IF($A27="-","-",P27)</f>
        <v>0.75</v>
      </c>
      <c r="I27" s="67">
        <f t="shared" ref="I27:L32" si="15">IF($A27="-","-",Z27)</f>
        <v>360</v>
      </c>
      <c r="J27" s="67">
        <f t="shared" si="15"/>
        <v>205</v>
      </c>
      <c r="K27" s="65">
        <f t="shared" si="15"/>
        <v>156</v>
      </c>
      <c r="L27" s="10">
        <f t="shared" si="15"/>
        <v>126</v>
      </c>
      <c r="N27" t="str">
        <f>南国ビーチ用!AZ2</f>
        <v>妖精</v>
      </c>
      <c r="O27">
        <f>南国ビーチ用!BB2</f>
        <v>75</v>
      </c>
      <c r="P27" s="1">
        <f>南国ビーチ用!BC2</f>
        <v>0.75</v>
      </c>
      <c r="Q27">
        <f>南国ビーチ用!BD2</f>
        <v>6</v>
      </c>
      <c r="R27">
        <v>0.5</v>
      </c>
      <c r="S27">
        <f t="shared" ref="S27:S36" si="16">SUMIF($I$4:$I$19,N27,$K$4:$K$19)</f>
        <v>0.4</v>
      </c>
      <c r="W27" s="52">
        <f t="shared" ref="W27:W36" si="17">SUM(O27,U27)</f>
        <v>75</v>
      </c>
      <c r="X27" s="52"/>
      <c r="Y27" s="52"/>
      <c r="Z27" s="40">
        <f>ROUNDDOWN(($D$3*$R27+1-$Q27*0)*$P27*Z$24*(1+$D$4)*(1+$D$5+$S27)*(1+$D$6),0)*MAX(1,$B$10)</f>
        <v>360</v>
      </c>
      <c r="AA27" s="47">
        <f>ROUNDDOWN(($D$3*$R27+1-$Q27*0)*$P27*AA$24*(1+$D$4)*(1+$D$5+$S27)*(1+0),0)*MAX(1,$B$10)</f>
        <v>205</v>
      </c>
      <c r="AB27" s="42">
        <f>ROUNDDOWN(($D$3*$R27+1-$Q27)*$P27*AB$24*(1+$D$4)*(1+$D$5+$S27)*(1+0),0)*MAX(1,$B$10)</f>
        <v>156</v>
      </c>
      <c r="AC27" s="44">
        <f>ROUNDDOWN(($D$3*$R27+1-$Q27)*$P27*AC$24*(1+$D$4)*(1+$D$5+$S27)*(1+0),0)*MAX(1,$B$10)</f>
        <v>126</v>
      </c>
      <c r="AD27" s="45">
        <f>$W27</f>
        <v>75</v>
      </c>
      <c r="AE27" s="48">
        <f>IF($W27&lt;Z27,$W27,#N/A)</f>
        <v>75</v>
      </c>
      <c r="AF27" s="49">
        <f>IF($W27&lt;AA27,$W27,#N/A)</f>
        <v>75</v>
      </c>
      <c r="AG27" s="50">
        <f>IF($W27&lt;AB27,$W27,#N/A)</f>
        <v>75</v>
      </c>
      <c r="AH27" s="51">
        <f>IF($W27&lt;AC27,$W27,#N/A)</f>
        <v>75</v>
      </c>
      <c r="AI27" s="63">
        <f>MAX(Z27,W27)</f>
        <v>360</v>
      </c>
      <c r="AJ27" s="63">
        <f>MAX(Z27,W27)</f>
        <v>360</v>
      </c>
      <c r="AM27">
        <f t="shared" si="9"/>
        <v>4</v>
      </c>
      <c r="AN27">
        <f t="shared" si="0"/>
        <v>1</v>
      </c>
      <c r="AO27" s="29">
        <f t="shared" si="1"/>
        <v>401</v>
      </c>
      <c r="AP27" s="15"/>
      <c r="AQ27" s="4" t="s">
        <v>38</v>
      </c>
      <c r="AR27" s="4" t="s">
        <v>39</v>
      </c>
      <c r="AS27" s="4">
        <v>130</v>
      </c>
      <c r="AT27" s="5">
        <v>1</v>
      </c>
      <c r="AU27" s="124">
        <v>3</v>
      </c>
      <c r="AV27" s="6" t="s">
        <v>183</v>
      </c>
    </row>
    <row r="28" spans="1:63">
      <c r="A28" s="54">
        <f>南国ビーチ用!AY3</f>
        <v>102</v>
      </c>
      <c r="B28" s="79"/>
      <c r="C28" s="80" t="str">
        <f>南国ビーチ用!BE3</f>
        <v>-</v>
      </c>
      <c r="D28" s="8" t="str">
        <f>南国ビーチ用!BA3</f>
        <v>ジャックフロスト</v>
      </c>
      <c r="E28" s="8"/>
      <c r="F28" s="65">
        <f t="shared" si="14"/>
        <v>124</v>
      </c>
      <c r="G28" s="8" t="s">
        <v>187</v>
      </c>
      <c r="H28" s="98">
        <f t="shared" ref="H28:H36" si="18">IF($A28="-","-",P28)</f>
        <v>1</v>
      </c>
      <c r="I28" s="67">
        <f t="shared" si="15"/>
        <v>480</v>
      </c>
      <c r="J28" s="67">
        <f t="shared" si="15"/>
        <v>274</v>
      </c>
      <c r="K28" s="65">
        <f t="shared" si="15"/>
        <v>202</v>
      </c>
      <c r="L28" s="10">
        <f t="shared" si="15"/>
        <v>163</v>
      </c>
      <c r="N28" t="str">
        <f>南国ビーチ用!AZ3</f>
        <v>妖精</v>
      </c>
      <c r="O28">
        <f>南国ビーチ用!BB3</f>
        <v>124</v>
      </c>
      <c r="P28" s="1">
        <f>南国ビーチ用!BC3</f>
        <v>1</v>
      </c>
      <c r="Q28">
        <f>南国ビーチ用!BD3</f>
        <v>8</v>
      </c>
      <c r="R28">
        <v>0.5</v>
      </c>
      <c r="S28">
        <f t="shared" si="16"/>
        <v>0.4</v>
      </c>
      <c r="W28" s="52">
        <f t="shared" si="17"/>
        <v>124</v>
      </c>
      <c r="X28" s="52"/>
      <c r="Y28" s="52"/>
      <c r="Z28" s="40">
        <f t="shared" ref="Z28:Z36" si="19">ROUNDDOWN(($D$3*$R28+1-$Q28*0)*$P28*Z$24*(1+$D$4)*(1+$D$5+$S28)*(1+$D$6),0)*MAX(1,$B$10)</f>
        <v>480</v>
      </c>
      <c r="AA28" s="47">
        <f t="shared" ref="AA28:AA36" si="20">ROUNDDOWN(($D$3*$R28+1-$Q28*0)*$P28*AA$24*(1+$D$4)*(1+$D$5+$S28)*(1+0),0)*MAX(1,$B$10)</f>
        <v>274</v>
      </c>
      <c r="AB28" s="42">
        <f t="shared" ref="AB28:AC36" si="21">ROUNDDOWN(($D$3*$R28+1-$Q28)*$P28*AB$24*(1+$D$4)*(1+$D$5+$S28)*(1+0),0)*MAX(1,$B$10)</f>
        <v>202</v>
      </c>
      <c r="AC28" s="44">
        <f t="shared" si="21"/>
        <v>163</v>
      </c>
      <c r="AD28" s="45">
        <f t="shared" ref="AD28:AD36" si="22">$W28</f>
        <v>124</v>
      </c>
      <c r="AE28" s="48">
        <f t="shared" ref="AE28:AH36" si="23">IF($W28&lt;Z28,$W28,#N/A)</f>
        <v>124</v>
      </c>
      <c r="AF28" s="49">
        <f t="shared" si="23"/>
        <v>124</v>
      </c>
      <c r="AG28" s="50">
        <f t="shared" si="23"/>
        <v>124</v>
      </c>
      <c r="AH28" s="51">
        <f t="shared" si="23"/>
        <v>124</v>
      </c>
      <c r="AI28" s="63">
        <f t="shared" ref="AI28:AI36" si="24">MAX(Z28,W28)</f>
        <v>480</v>
      </c>
      <c r="AJ28" s="63">
        <f t="shared" ref="AJ28:AJ36" si="25">MAX(Z28,W28)</f>
        <v>480</v>
      </c>
      <c r="AM28">
        <f t="shared" si="9"/>
        <v>4</v>
      </c>
      <c r="AN28">
        <f t="shared" si="0"/>
        <v>2</v>
      </c>
      <c r="AO28" s="30">
        <f t="shared" si="1"/>
        <v>402</v>
      </c>
      <c r="AP28" s="16"/>
      <c r="AQ28" s="8" t="s">
        <v>38</v>
      </c>
      <c r="AR28" s="8" t="s">
        <v>40</v>
      </c>
      <c r="AS28" s="8">
        <v>167</v>
      </c>
      <c r="AT28" s="9">
        <v>0</v>
      </c>
      <c r="AU28" s="125">
        <v>9</v>
      </c>
      <c r="AV28" s="10" t="s">
        <v>183</v>
      </c>
    </row>
    <row r="29" spans="1:63">
      <c r="A29" s="54">
        <f>南国ビーチ用!AY4</f>
        <v>103</v>
      </c>
      <c r="B29" s="79"/>
      <c r="C29" s="80" t="str">
        <f>南国ビーチ用!BE4</f>
        <v>-</v>
      </c>
      <c r="D29" s="8" t="str">
        <f>南国ビーチ用!BA4</f>
        <v>ハイピクシー</v>
      </c>
      <c r="E29" s="8"/>
      <c r="F29" s="65">
        <f t="shared" si="14"/>
        <v>154</v>
      </c>
      <c r="G29" s="8" t="s">
        <v>187</v>
      </c>
      <c r="H29" s="98">
        <f t="shared" si="18"/>
        <v>0.75</v>
      </c>
      <c r="I29" s="67">
        <f t="shared" si="15"/>
        <v>360</v>
      </c>
      <c r="J29" s="67">
        <f t="shared" si="15"/>
        <v>205</v>
      </c>
      <c r="K29" s="65">
        <f t="shared" si="15"/>
        <v>149</v>
      </c>
      <c r="L29" s="10">
        <f t="shared" si="15"/>
        <v>121</v>
      </c>
      <c r="N29" t="str">
        <f>南国ビーチ用!AZ4</f>
        <v>妖精</v>
      </c>
      <c r="O29">
        <f>南国ビーチ用!BB4</f>
        <v>154</v>
      </c>
      <c r="P29" s="1">
        <f>南国ビーチ用!BC4</f>
        <v>0.75</v>
      </c>
      <c r="Q29">
        <f>南国ビーチ用!BD4</f>
        <v>9</v>
      </c>
      <c r="R29">
        <v>0.5</v>
      </c>
      <c r="S29">
        <f t="shared" si="16"/>
        <v>0.4</v>
      </c>
      <c r="W29" s="52">
        <f t="shared" si="17"/>
        <v>154</v>
      </c>
      <c r="X29" s="52"/>
      <c r="Y29" s="52"/>
      <c r="Z29" s="40">
        <f t="shared" si="19"/>
        <v>360</v>
      </c>
      <c r="AA29" s="47">
        <f t="shared" si="20"/>
        <v>205</v>
      </c>
      <c r="AB29" s="42">
        <f t="shared" si="21"/>
        <v>149</v>
      </c>
      <c r="AC29" s="44">
        <f t="shared" si="21"/>
        <v>121</v>
      </c>
      <c r="AD29" s="45">
        <f t="shared" si="22"/>
        <v>154</v>
      </c>
      <c r="AE29" s="48">
        <f t="shared" si="23"/>
        <v>154</v>
      </c>
      <c r="AF29" s="49">
        <f t="shared" si="23"/>
        <v>154</v>
      </c>
      <c r="AG29" s="50" t="e">
        <f t="shared" si="23"/>
        <v>#N/A</v>
      </c>
      <c r="AH29" s="51" t="e">
        <f t="shared" si="23"/>
        <v>#N/A</v>
      </c>
      <c r="AI29" s="63">
        <f t="shared" si="24"/>
        <v>360</v>
      </c>
      <c r="AJ29" s="63">
        <f t="shared" si="25"/>
        <v>360</v>
      </c>
      <c r="AM29">
        <f t="shared" si="9"/>
        <v>4</v>
      </c>
      <c r="AN29">
        <f t="shared" si="0"/>
        <v>3</v>
      </c>
      <c r="AO29" s="30">
        <f t="shared" si="1"/>
        <v>403</v>
      </c>
      <c r="AP29" s="16"/>
      <c r="AQ29" s="8" t="s">
        <v>38</v>
      </c>
      <c r="AR29" s="8" t="s">
        <v>41</v>
      </c>
      <c r="AS29" s="8">
        <v>163</v>
      </c>
      <c r="AT29" s="9">
        <v>0.35</v>
      </c>
      <c r="AU29" s="125">
        <v>2</v>
      </c>
      <c r="AV29" s="10" t="s">
        <v>183</v>
      </c>
    </row>
    <row r="30" spans="1:63">
      <c r="A30" s="54">
        <f>南国ビーチ用!AY5</f>
        <v>104</v>
      </c>
      <c r="B30" s="79"/>
      <c r="C30" s="80" t="str">
        <f>南国ビーチ用!BE5</f>
        <v>-</v>
      </c>
      <c r="D30" s="8" t="str">
        <f>南国ビーチ用!BA5</f>
        <v>ジャックランタン</v>
      </c>
      <c r="E30" s="8"/>
      <c r="F30" s="65">
        <f t="shared" si="14"/>
        <v>149</v>
      </c>
      <c r="G30" s="8" t="s">
        <v>187</v>
      </c>
      <c r="H30" s="98">
        <f t="shared" si="18"/>
        <v>0.85</v>
      </c>
      <c r="I30" s="67">
        <f t="shared" si="15"/>
        <v>408</v>
      </c>
      <c r="J30" s="67">
        <f t="shared" si="15"/>
        <v>233</v>
      </c>
      <c r="K30" s="65">
        <f t="shared" si="15"/>
        <v>162</v>
      </c>
      <c r="L30" s="10">
        <f t="shared" si="15"/>
        <v>130</v>
      </c>
      <c r="N30" t="str">
        <f>南国ビーチ用!AZ5</f>
        <v>妖精</v>
      </c>
      <c r="O30">
        <f>南国ビーチ用!BB5</f>
        <v>149</v>
      </c>
      <c r="P30" s="1">
        <f>南国ビーチ用!BC5</f>
        <v>0.85</v>
      </c>
      <c r="Q30">
        <f>南国ビーチ用!BD5</f>
        <v>12</v>
      </c>
      <c r="R30">
        <v>0.5</v>
      </c>
      <c r="S30">
        <f t="shared" si="16"/>
        <v>0.4</v>
      </c>
      <c r="W30" s="52">
        <f t="shared" si="17"/>
        <v>149</v>
      </c>
      <c r="X30" s="52"/>
      <c r="Y30" s="52"/>
      <c r="Z30" s="40">
        <f t="shared" si="19"/>
        <v>408</v>
      </c>
      <c r="AA30" s="47">
        <f t="shared" si="20"/>
        <v>233</v>
      </c>
      <c r="AB30" s="42">
        <f t="shared" si="21"/>
        <v>162</v>
      </c>
      <c r="AC30" s="44">
        <f t="shared" si="21"/>
        <v>130</v>
      </c>
      <c r="AD30" s="45">
        <f t="shared" si="22"/>
        <v>149</v>
      </c>
      <c r="AE30" s="48">
        <f t="shared" si="23"/>
        <v>149</v>
      </c>
      <c r="AF30" s="49">
        <f t="shared" si="23"/>
        <v>149</v>
      </c>
      <c r="AG30" s="50">
        <f t="shared" si="23"/>
        <v>149</v>
      </c>
      <c r="AH30" s="51" t="e">
        <f t="shared" si="23"/>
        <v>#N/A</v>
      </c>
      <c r="AI30" s="63">
        <f t="shared" si="24"/>
        <v>408</v>
      </c>
      <c r="AJ30" s="63">
        <f t="shared" si="25"/>
        <v>408</v>
      </c>
      <c r="AM30">
        <f t="shared" si="9"/>
        <v>4</v>
      </c>
      <c r="AN30">
        <f t="shared" si="0"/>
        <v>4</v>
      </c>
      <c r="AO30" s="30">
        <f t="shared" si="1"/>
        <v>404</v>
      </c>
      <c r="AP30" s="16"/>
      <c r="AQ30" s="8" t="s">
        <v>38</v>
      </c>
      <c r="AR30" s="8" t="s">
        <v>42</v>
      </c>
      <c r="AS30" s="8">
        <v>228</v>
      </c>
      <c r="AT30" s="9">
        <v>0.75</v>
      </c>
      <c r="AU30" s="125">
        <v>8</v>
      </c>
      <c r="AV30" s="10" t="s">
        <v>183</v>
      </c>
    </row>
    <row r="31" spans="1:63">
      <c r="A31" s="54">
        <f>南国ビーチ用!AY6</f>
        <v>105</v>
      </c>
      <c r="B31" s="79"/>
      <c r="C31" s="80" t="str">
        <f>南国ビーチ用!BE6</f>
        <v>-</v>
      </c>
      <c r="D31" s="8" t="str">
        <f>南国ビーチ用!BA6</f>
        <v>ガンダルヴァ</v>
      </c>
      <c r="E31" s="8"/>
      <c r="F31" s="65">
        <f t="shared" si="14"/>
        <v>215</v>
      </c>
      <c r="G31" s="8" t="s">
        <v>187</v>
      </c>
      <c r="H31" s="98">
        <f t="shared" si="18"/>
        <v>0.75</v>
      </c>
      <c r="I31" s="67">
        <f t="shared" si="15"/>
        <v>360</v>
      </c>
      <c r="J31" s="67">
        <f t="shared" si="15"/>
        <v>205</v>
      </c>
      <c r="K31" s="65">
        <f t="shared" si="15"/>
        <v>160</v>
      </c>
      <c r="L31" s="10">
        <f t="shared" si="15"/>
        <v>130</v>
      </c>
      <c r="N31" t="str">
        <f>南国ビーチ用!AZ6</f>
        <v>妖精</v>
      </c>
      <c r="O31">
        <f>南国ビーチ用!BB6</f>
        <v>215</v>
      </c>
      <c r="P31" s="1">
        <f>南国ビーチ用!BC6</f>
        <v>0.75</v>
      </c>
      <c r="Q31">
        <f>南国ビーチ用!BD6</f>
        <v>4</v>
      </c>
      <c r="R31">
        <v>0.5</v>
      </c>
      <c r="S31">
        <f t="shared" si="16"/>
        <v>0.4</v>
      </c>
      <c r="W31" s="52">
        <f t="shared" si="17"/>
        <v>215</v>
      </c>
      <c r="X31" s="52"/>
      <c r="Y31" s="52"/>
      <c r="Z31" s="40">
        <f t="shared" si="19"/>
        <v>360</v>
      </c>
      <c r="AA31" s="47">
        <f t="shared" si="20"/>
        <v>205</v>
      </c>
      <c r="AB31" s="42">
        <f t="shared" si="21"/>
        <v>160</v>
      </c>
      <c r="AC31" s="44">
        <f t="shared" si="21"/>
        <v>130</v>
      </c>
      <c r="AD31" s="45">
        <f t="shared" si="22"/>
        <v>215</v>
      </c>
      <c r="AE31" s="48">
        <f t="shared" si="23"/>
        <v>215</v>
      </c>
      <c r="AF31" s="49" t="e">
        <f t="shared" si="23"/>
        <v>#N/A</v>
      </c>
      <c r="AG31" s="50" t="e">
        <f t="shared" si="23"/>
        <v>#N/A</v>
      </c>
      <c r="AH31" s="51" t="e">
        <f t="shared" si="23"/>
        <v>#N/A</v>
      </c>
      <c r="AI31" s="63">
        <f t="shared" si="24"/>
        <v>360</v>
      </c>
      <c r="AJ31" s="63">
        <f t="shared" si="25"/>
        <v>360</v>
      </c>
      <c r="AM31">
        <f t="shared" si="9"/>
        <v>4</v>
      </c>
      <c r="AN31">
        <f t="shared" si="0"/>
        <v>5</v>
      </c>
      <c r="AO31" s="30">
        <f t="shared" si="1"/>
        <v>405</v>
      </c>
      <c r="AP31" s="16"/>
      <c r="AQ31" s="8" t="s">
        <v>38</v>
      </c>
      <c r="AR31" s="8" t="s">
        <v>43</v>
      </c>
      <c r="AS31" s="8">
        <v>250</v>
      </c>
      <c r="AT31" s="9">
        <v>1</v>
      </c>
      <c r="AU31" s="125">
        <v>14</v>
      </c>
      <c r="AV31" s="10" t="s">
        <v>183</v>
      </c>
    </row>
    <row r="32" spans="1:63">
      <c r="A32" s="54">
        <f>南国ビーチ用!AY7</f>
        <v>106</v>
      </c>
      <c r="B32" s="79"/>
      <c r="C32" s="80" t="str">
        <f>南国ビーチ用!BE7</f>
        <v>-</v>
      </c>
      <c r="D32" s="8" t="str">
        <f>南国ビーチ用!BA7</f>
        <v>ケルピー</v>
      </c>
      <c r="E32" s="8"/>
      <c r="F32" s="65">
        <f t="shared" si="14"/>
        <v>194</v>
      </c>
      <c r="G32" s="8" t="s">
        <v>187</v>
      </c>
      <c r="H32" s="98">
        <f t="shared" si="18"/>
        <v>0.75</v>
      </c>
      <c r="I32" s="67">
        <f t="shared" si="15"/>
        <v>360</v>
      </c>
      <c r="J32" s="67">
        <f t="shared" si="15"/>
        <v>205</v>
      </c>
      <c r="K32" s="65">
        <f t="shared" si="15"/>
        <v>154</v>
      </c>
      <c r="L32" s="10">
        <f t="shared" si="15"/>
        <v>124</v>
      </c>
      <c r="N32" t="str">
        <f>南国ビーチ用!AZ7</f>
        <v>妖精</v>
      </c>
      <c r="O32">
        <f>南国ビーチ用!BB7</f>
        <v>194</v>
      </c>
      <c r="P32" s="1">
        <f>南国ビーチ用!BC7</f>
        <v>0.75</v>
      </c>
      <c r="Q32">
        <f>南国ビーチ用!BD7</f>
        <v>7</v>
      </c>
      <c r="R32">
        <v>0.5</v>
      </c>
      <c r="S32">
        <f t="shared" si="16"/>
        <v>0.4</v>
      </c>
      <c r="W32" s="52">
        <f t="shared" si="17"/>
        <v>194</v>
      </c>
      <c r="X32" s="52"/>
      <c r="Y32" s="52"/>
      <c r="Z32" s="40">
        <f t="shared" si="19"/>
        <v>360</v>
      </c>
      <c r="AA32" s="47">
        <f t="shared" si="20"/>
        <v>205</v>
      </c>
      <c r="AB32" s="42">
        <f t="shared" si="21"/>
        <v>154</v>
      </c>
      <c r="AC32" s="44">
        <f t="shared" si="21"/>
        <v>124</v>
      </c>
      <c r="AD32" s="45">
        <f t="shared" si="22"/>
        <v>194</v>
      </c>
      <c r="AE32" s="48">
        <f t="shared" si="23"/>
        <v>194</v>
      </c>
      <c r="AF32" s="49">
        <f t="shared" si="23"/>
        <v>194</v>
      </c>
      <c r="AG32" s="50" t="e">
        <f t="shared" si="23"/>
        <v>#N/A</v>
      </c>
      <c r="AH32" s="51" t="e">
        <f t="shared" si="23"/>
        <v>#N/A</v>
      </c>
      <c r="AI32" s="63">
        <f t="shared" si="24"/>
        <v>360</v>
      </c>
      <c r="AJ32" s="63">
        <f t="shared" si="25"/>
        <v>360</v>
      </c>
      <c r="AM32">
        <f t="shared" si="9"/>
        <v>4</v>
      </c>
      <c r="AN32">
        <f t="shared" si="0"/>
        <v>6</v>
      </c>
      <c r="AO32" s="30">
        <f t="shared" si="1"/>
        <v>406</v>
      </c>
      <c r="AP32" s="16"/>
      <c r="AQ32" s="8" t="s">
        <v>38</v>
      </c>
      <c r="AR32" s="8" t="s">
        <v>44</v>
      </c>
      <c r="AS32" s="8">
        <v>409</v>
      </c>
      <c r="AT32" s="9">
        <v>1</v>
      </c>
      <c r="AU32" s="125">
        <v>10</v>
      </c>
      <c r="AV32" s="10" t="s">
        <v>183</v>
      </c>
    </row>
    <row r="33" spans="1:48">
      <c r="A33" s="54">
        <f>南国ビーチ用!AY8</f>
        <v>107</v>
      </c>
      <c r="B33" s="79"/>
      <c r="C33" s="80" t="str">
        <f>南国ビーチ用!BE8</f>
        <v>-</v>
      </c>
      <c r="D33" s="8" t="str">
        <f>南国ビーチ用!BA8</f>
        <v>エルフ</v>
      </c>
      <c r="E33" s="8"/>
      <c r="F33" s="65">
        <f t="shared" si="14"/>
        <v>285</v>
      </c>
      <c r="G33" s="8" t="s">
        <v>187</v>
      </c>
      <c r="H33" s="98">
        <f t="shared" si="18"/>
        <v>0.75</v>
      </c>
      <c r="I33" s="67">
        <f>IF($A33="-","-",Z33)</f>
        <v>360</v>
      </c>
      <c r="J33" s="67">
        <f>IF($A33="-","-",AA33)</f>
        <v>205</v>
      </c>
      <c r="K33" s="65">
        <f>IF($A33="-","-",AB33)</f>
        <v>145</v>
      </c>
      <c r="L33" s="10">
        <f>IF($A33="-","-",AC33)</f>
        <v>117</v>
      </c>
      <c r="N33" t="str">
        <f>南国ビーチ用!AZ8</f>
        <v>妖精</v>
      </c>
      <c r="O33">
        <f>南国ビーチ用!BB8</f>
        <v>285</v>
      </c>
      <c r="P33" s="1">
        <f>南国ビーチ用!BC8</f>
        <v>0.75</v>
      </c>
      <c r="Q33">
        <f>南国ビーチ用!BD8</f>
        <v>11</v>
      </c>
      <c r="R33">
        <v>0.5</v>
      </c>
      <c r="S33">
        <f t="shared" si="16"/>
        <v>0.4</v>
      </c>
      <c r="W33" s="52">
        <f t="shared" si="17"/>
        <v>285</v>
      </c>
      <c r="X33" s="52"/>
      <c r="Y33" s="52"/>
      <c r="Z33" s="40">
        <f t="shared" si="19"/>
        <v>360</v>
      </c>
      <c r="AA33" s="47">
        <f t="shared" si="20"/>
        <v>205</v>
      </c>
      <c r="AB33" s="42">
        <f t="shared" si="21"/>
        <v>145</v>
      </c>
      <c r="AC33" s="44">
        <f t="shared" si="21"/>
        <v>117</v>
      </c>
      <c r="AD33" s="45">
        <f t="shared" si="22"/>
        <v>285</v>
      </c>
      <c r="AE33" s="48">
        <f t="shared" si="23"/>
        <v>285</v>
      </c>
      <c r="AF33" s="49" t="e">
        <f t="shared" si="23"/>
        <v>#N/A</v>
      </c>
      <c r="AG33" s="50" t="e">
        <f t="shared" si="23"/>
        <v>#N/A</v>
      </c>
      <c r="AH33" s="51" t="e">
        <f t="shared" si="23"/>
        <v>#N/A</v>
      </c>
      <c r="AI33" s="63">
        <f t="shared" si="24"/>
        <v>360</v>
      </c>
      <c r="AJ33" s="63">
        <f t="shared" si="25"/>
        <v>360</v>
      </c>
      <c r="AM33">
        <f t="shared" si="9"/>
        <v>4</v>
      </c>
      <c r="AN33">
        <f t="shared" si="0"/>
        <v>7</v>
      </c>
      <c r="AO33" s="31">
        <f t="shared" si="1"/>
        <v>407</v>
      </c>
      <c r="AP33" s="17"/>
      <c r="AQ33" s="12" t="s">
        <v>38</v>
      </c>
      <c r="AR33" s="12" t="s">
        <v>45</v>
      </c>
      <c r="AS33" s="12">
        <v>1115</v>
      </c>
      <c r="AT33" s="13">
        <v>1</v>
      </c>
      <c r="AU33" s="126">
        <v>28</v>
      </c>
      <c r="AV33" s="14" t="s">
        <v>183</v>
      </c>
    </row>
    <row r="34" spans="1:48">
      <c r="A34" s="54">
        <f>南国ビーチ用!AY9</f>
        <v>108</v>
      </c>
      <c r="B34" s="79"/>
      <c r="C34" s="80" t="str">
        <f>南国ビーチ用!BE9</f>
        <v>-</v>
      </c>
      <c r="D34" s="8" t="str">
        <f>南国ビーチ用!BA9</f>
        <v>トロール</v>
      </c>
      <c r="E34" s="8"/>
      <c r="F34" s="65">
        <f t="shared" si="14"/>
        <v>368</v>
      </c>
      <c r="G34" s="8" t="s">
        <v>187</v>
      </c>
      <c r="H34" s="98">
        <f t="shared" si="18"/>
        <v>1</v>
      </c>
      <c r="I34" s="67">
        <f t="shared" ref="I34:L36" si="26">IF($A34="-","-",Z34)</f>
        <v>480</v>
      </c>
      <c r="J34" s="67">
        <f t="shared" si="26"/>
        <v>274</v>
      </c>
      <c r="K34" s="65">
        <f t="shared" si="26"/>
        <v>196</v>
      </c>
      <c r="L34" s="10">
        <f t="shared" si="26"/>
        <v>158</v>
      </c>
      <c r="N34" t="str">
        <f>南国ビーチ用!AZ9</f>
        <v>妖精</v>
      </c>
      <c r="O34">
        <f>南国ビーチ用!BB9</f>
        <v>368</v>
      </c>
      <c r="P34" s="1">
        <f>南国ビーチ用!BC9</f>
        <v>1</v>
      </c>
      <c r="Q34">
        <f>南国ビーチ用!BD9</f>
        <v>10</v>
      </c>
      <c r="R34">
        <v>0.5</v>
      </c>
      <c r="S34">
        <f t="shared" si="16"/>
        <v>0.4</v>
      </c>
      <c r="W34" s="52">
        <f t="shared" si="17"/>
        <v>368</v>
      </c>
      <c r="X34" s="52"/>
      <c r="Y34" s="52"/>
      <c r="Z34" s="40">
        <f t="shared" si="19"/>
        <v>480</v>
      </c>
      <c r="AA34" s="47">
        <f t="shared" si="20"/>
        <v>274</v>
      </c>
      <c r="AB34" s="42">
        <f t="shared" si="21"/>
        <v>196</v>
      </c>
      <c r="AC34" s="44">
        <f t="shared" si="21"/>
        <v>158</v>
      </c>
      <c r="AD34" s="45">
        <f t="shared" si="22"/>
        <v>368</v>
      </c>
      <c r="AE34" s="48">
        <f t="shared" si="23"/>
        <v>368</v>
      </c>
      <c r="AF34" s="49" t="e">
        <f t="shared" si="23"/>
        <v>#N/A</v>
      </c>
      <c r="AG34" s="50" t="e">
        <f t="shared" si="23"/>
        <v>#N/A</v>
      </c>
      <c r="AH34" s="51" t="e">
        <f t="shared" si="23"/>
        <v>#N/A</v>
      </c>
      <c r="AI34" s="63">
        <f t="shared" si="24"/>
        <v>480</v>
      </c>
      <c r="AJ34" s="63">
        <f t="shared" si="25"/>
        <v>480</v>
      </c>
      <c r="AM34">
        <f t="shared" si="9"/>
        <v>5</v>
      </c>
      <c r="AN34">
        <f t="shared" ref="AN34:AN65" si="27">IF(AQ34=AQ33,AN33+1,1)</f>
        <v>1</v>
      </c>
      <c r="AO34" s="29">
        <f t="shared" ref="AO34:AO65" si="28">AM34*100+AN34</f>
        <v>501</v>
      </c>
      <c r="AP34" s="15"/>
      <c r="AQ34" s="4" t="s">
        <v>53</v>
      </c>
      <c r="AR34" s="4" t="s">
        <v>54</v>
      </c>
      <c r="AS34" s="4">
        <v>61</v>
      </c>
      <c r="AT34" s="5">
        <v>0.35</v>
      </c>
      <c r="AU34" s="124">
        <v>11</v>
      </c>
      <c r="AV34" s="6" t="s">
        <v>183</v>
      </c>
    </row>
    <row r="35" spans="1:48">
      <c r="A35" s="54">
        <f>南国ビーチ用!AY10</f>
        <v>109</v>
      </c>
      <c r="B35" s="79"/>
      <c r="C35" s="80" t="str">
        <f>南国ビーチ用!BE10</f>
        <v>-</v>
      </c>
      <c r="D35" s="8" t="str">
        <f>南国ビーチ用!BA10</f>
        <v>オベロン</v>
      </c>
      <c r="E35" s="8"/>
      <c r="F35" s="65">
        <f t="shared" si="14"/>
        <v>462</v>
      </c>
      <c r="G35" s="8" t="s">
        <v>187</v>
      </c>
      <c r="H35" s="98">
        <f t="shared" si="18"/>
        <v>0.75</v>
      </c>
      <c r="I35" s="67">
        <f t="shared" si="26"/>
        <v>360</v>
      </c>
      <c r="J35" s="67">
        <f t="shared" si="26"/>
        <v>205</v>
      </c>
      <c r="K35" s="65">
        <f t="shared" si="26"/>
        <v>136</v>
      </c>
      <c r="L35" s="10">
        <f t="shared" si="26"/>
        <v>110</v>
      </c>
      <c r="N35" t="str">
        <f>南国ビーチ用!AZ10</f>
        <v>妖精</v>
      </c>
      <c r="O35">
        <f>南国ビーチ用!BB10</f>
        <v>462</v>
      </c>
      <c r="P35" s="1">
        <f>南国ビーチ用!BC10</f>
        <v>0.75</v>
      </c>
      <c r="Q35">
        <f>南国ビーチ用!BD10</f>
        <v>15</v>
      </c>
      <c r="R35">
        <v>0.5</v>
      </c>
      <c r="S35">
        <f t="shared" si="16"/>
        <v>0.4</v>
      </c>
      <c r="W35" s="52">
        <f t="shared" si="17"/>
        <v>462</v>
      </c>
      <c r="X35" s="52"/>
      <c r="Y35" s="52"/>
      <c r="Z35" s="40">
        <f t="shared" si="19"/>
        <v>360</v>
      </c>
      <c r="AA35" s="47">
        <f t="shared" si="20"/>
        <v>205</v>
      </c>
      <c r="AB35" s="42">
        <f t="shared" si="21"/>
        <v>136</v>
      </c>
      <c r="AC35" s="44">
        <f t="shared" si="21"/>
        <v>110</v>
      </c>
      <c r="AD35" s="45">
        <f t="shared" si="22"/>
        <v>462</v>
      </c>
      <c r="AE35" s="48" t="e">
        <f t="shared" si="23"/>
        <v>#N/A</v>
      </c>
      <c r="AF35" s="49" t="e">
        <f t="shared" si="23"/>
        <v>#N/A</v>
      </c>
      <c r="AG35" s="50" t="e">
        <f t="shared" si="23"/>
        <v>#N/A</v>
      </c>
      <c r="AH35" s="51" t="e">
        <f t="shared" si="23"/>
        <v>#N/A</v>
      </c>
      <c r="AI35" s="63">
        <f t="shared" si="24"/>
        <v>462</v>
      </c>
      <c r="AJ35" s="63">
        <f t="shared" si="25"/>
        <v>462</v>
      </c>
      <c r="AM35">
        <f t="shared" ref="AM35:AM66" si="29">IF(AQ35=AQ34,AM34,AM34+1)</f>
        <v>5</v>
      </c>
      <c r="AN35">
        <f t="shared" si="27"/>
        <v>2</v>
      </c>
      <c r="AO35" s="30">
        <f t="shared" si="28"/>
        <v>502</v>
      </c>
      <c r="AP35" s="16"/>
      <c r="AQ35" s="8" t="s">
        <v>53</v>
      </c>
      <c r="AR35" s="8" t="s">
        <v>55</v>
      </c>
      <c r="AS35" s="8">
        <v>83</v>
      </c>
      <c r="AT35" s="9">
        <v>0.25</v>
      </c>
      <c r="AU35" s="125">
        <v>3</v>
      </c>
      <c r="AV35" s="10" t="s">
        <v>183</v>
      </c>
    </row>
    <row r="36" spans="1:48">
      <c r="A36" s="54">
        <f>南国ビーチ用!AY11</f>
        <v>110</v>
      </c>
      <c r="B36" s="81"/>
      <c r="C36" s="82" t="str">
        <f>南国ビーチ用!BE11</f>
        <v>-</v>
      </c>
      <c r="D36" s="12" t="str">
        <f>南国ビーチ用!BA11</f>
        <v>ティターニア</v>
      </c>
      <c r="E36" s="12"/>
      <c r="F36" s="84">
        <f t="shared" si="14"/>
        <v>459</v>
      </c>
      <c r="G36" s="12" t="s">
        <v>187</v>
      </c>
      <c r="H36" s="99">
        <f t="shared" si="18"/>
        <v>0.75</v>
      </c>
      <c r="I36" s="83">
        <f t="shared" si="26"/>
        <v>360</v>
      </c>
      <c r="J36" s="83">
        <f t="shared" si="26"/>
        <v>205</v>
      </c>
      <c r="K36" s="84">
        <f t="shared" si="26"/>
        <v>122</v>
      </c>
      <c r="L36" s="14">
        <f t="shared" si="26"/>
        <v>99</v>
      </c>
      <c r="N36" t="str">
        <f>南国ビーチ用!AZ11</f>
        <v>妖精</v>
      </c>
      <c r="O36">
        <f>南国ビーチ用!BB11</f>
        <v>459</v>
      </c>
      <c r="P36" s="1">
        <f>南国ビーチ用!BC11</f>
        <v>0.75</v>
      </c>
      <c r="Q36">
        <f>南国ビーチ用!BD11</f>
        <v>21</v>
      </c>
      <c r="R36">
        <v>0.5</v>
      </c>
      <c r="S36">
        <f t="shared" si="16"/>
        <v>0.4</v>
      </c>
      <c r="W36" s="52">
        <f t="shared" si="17"/>
        <v>459</v>
      </c>
      <c r="X36" s="52"/>
      <c r="Y36" s="52"/>
      <c r="Z36" s="40">
        <f t="shared" si="19"/>
        <v>360</v>
      </c>
      <c r="AA36" s="47">
        <f t="shared" si="20"/>
        <v>205</v>
      </c>
      <c r="AB36" s="42">
        <f t="shared" si="21"/>
        <v>122</v>
      </c>
      <c r="AC36" s="44">
        <f t="shared" si="21"/>
        <v>99</v>
      </c>
      <c r="AD36" s="45">
        <f t="shared" si="22"/>
        <v>459</v>
      </c>
      <c r="AE36" s="48" t="e">
        <f t="shared" si="23"/>
        <v>#N/A</v>
      </c>
      <c r="AF36" s="49" t="e">
        <f t="shared" si="23"/>
        <v>#N/A</v>
      </c>
      <c r="AG36" s="50" t="e">
        <f t="shared" si="23"/>
        <v>#N/A</v>
      </c>
      <c r="AH36" s="51" t="e">
        <f t="shared" si="23"/>
        <v>#N/A</v>
      </c>
      <c r="AI36" s="63">
        <f t="shared" si="24"/>
        <v>459</v>
      </c>
      <c r="AJ36" s="63">
        <f t="shared" si="25"/>
        <v>459</v>
      </c>
      <c r="AM36">
        <f t="shared" si="29"/>
        <v>5</v>
      </c>
      <c r="AN36">
        <f t="shared" si="27"/>
        <v>3</v>
      </c>
      <c r="AO36" s="30">
        <f t="shared" si="28"/>
        <v>503</v>
      </c>
      <c r="AP36" s="16"/>
      <c r="AQ36" s="8" t="s">
        <v>53</v>
      </c>
      <c r="AR36" s="8" t="s">
        <v>56</v>
      </c>
      <c r="AS36" s="8">
        <v>137</v>
      </c>
      <c r="AT36" s="9">
        <v>0.75</v>
      </c>
      <c r="AU36" s="125">
        <v>4</v>
      </c>
      <c r="AV36" s="10" t="s">
        <v>183</v>
      </c>
    </row>
    <row r="37" spans="1:48">
      <c r="W37" s="52"/>
      <c r="X37" s="52"/>
      <c r="Y37" s="52"/>
      <c r="Z37" s="40">
        <f>SUMIF($A$27:$A$36,MAX($A$27:$A$36),Z$27:Z$36)</f>
        <v>360</v>
      </c>
      <c r="AA37" s="47">
        <f>SUMIF($A$27:$A$36,MAX($A$27:$A$36),AA$27:AA$36)</f>
        <v>205</v>
      </c>
      <c r="AB37" s="42">
        <f>SUMIF($A$27:$A$36,MAX($A$27:$A$36),AB$27:AB$36)</f>
        <v>122</v>
      </c>
      <c r="AC37" s="44">
        <f>SUMIF($A$27:$A$36,MAX($A$27:$A$36),AC$27:AC$36)</f>
        <v>99</v>
      </c>
      <c r="AD37" s="45"/>
      <c r="AE37" s="48"/>
      <c r="AF37" s="49"/>
      <c r="AG37" s="50"/>
      <c r="AH37" s="51"/>
      <c r="AI37" s="63"/>
      <c r="AJ37" s="63"/>
      <c r="AM37">
        <f t="shared" si="29"/>
        <v>5</v>
      </c>
      <c r="AN37">
        <f t="shared" si="27"/>
        <v>4</v>
      </c>
      <c r="AO37" s="30">
        <f t="shared" si="28"/>
        <v>504</v>
      </c>
      <c r="AP37" s="16"/>
      <c r="AQ37" s="8" t="s">
        <v>53</v>
      </c>
      <c r="AR37" s="8" t="s">
        <v>57</v>
      </c>
      <c r="AS37" s="8">
        <v>125</v>
      </c>
      <c r="AT37" s="9">
        <v>0.25</v>
      </c>
      <c r="AU37" s="125">
        <v>6</v>
      </c>
      <c r="AV37" s="10" t="s">
        <v>183</v>
      </c>
    </row>
    <row r="38" spans="1:48">
      <c r="B38" s="89" t="s">
        <v>178</v>
      </c>
      <c r="C38" s="90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M38">
        <f t="shared" si="29"/>
        <v>5</v>
      </c>
      <c r="AN38">
        <f t="shared" si="27"/>
        <v>5</v>
      </c>
      <c r="AO38" s="30">
        <f t="shared" si="28"/>
        <v>505</v>
      </c>
      <c r="AP38" s="16"/>
      <c r="AQ38" s="8" t="s">
        <v>53</v>
      </c>
      <c r="AR38" s="8" t="s">
        <v>58</v>
      </c>
      <c r="AS38" s="8">
        <v>182</v>
      </c>
      <c r="AT38" s="9">
        <v>0.25</v>
      </c>
      <c r="AU38" s="125">
        <v>5</v>
      </c>
      <c r="AV38" s="10" t="s">
        <v>183</v>
      </c>
    </row>
    <row r="39" spans="1:48">
      <c r="A39" s="54" t="str">
        <f>南国ビーチ用!AY14</f>
        <v>-</v>
      </c>
      <c r="B39" s="85"/>
      <c r="C39" s="86" t="str">
        <f>南国ビーチ用!BE14</f>
        <v>-</v>
      </c>
      <c r="D39" s="4" t="str">
        <f>南国ビーチ用!BA14</f>
        <v>-</v>
      </c>
      <c r="E39" s="4"/>
      <c r="F39" s="88" t="str">
        <f t="shared" ref="F39:F45" si="30">IF($A39="-","-",O39)</f>
        <v>-</v>
      </c>
      <c r="G39" s="4" t="s">
        <v>186</v>
      </c>
      <c r="H39" s="100" t="str">
        <f t="shared" ref="H39:H45" si="31">IF($A39="-","-",P39)</f>
        <v>-</v>
      </c>
      <c r="I39" s="87" t="str">
        <f t="shared" ref="I39:L45" si="32">IF($A39="-","-",Z39)</f>
        <v>-</v>
      </c>
      <c r="J39" s="87" t="str">
        <f t="shared" si="32"/>
        <v>-</v>
      </c>
      <c r="K39" s="88" t="str">
        <f t="shared" si="32"/>
        <v>-</v>
      </c>
      <c r="L39" s="6" t="str">
        <f t="shared" si="32"/>
        <v>-</v>
      </c>
      <c r="N39" t="e">
        <f>南国ビーチ用!AZ14</f>
        <v>#N/A</v>
      </c>
      <c r="O39" t="e">
        <f>南国ビーチ用!BB14</f>
        <v>#N/A</v>
      </c>
      <c r="P39" t="str">
        <f>南国ビーチ用!BC14</f>
        <v>-</v>
      </c>
      <c r="Q39" t="e">
        <f>南国ビーチ用!BD14</f>
        <v>#N/A</v>
      </c>
      <c r="R39">
        <v>0.5</v>
      </c>
      <c r="S39">
        <f t="shared" ref="S39:S45" si="33">SUMIF($I$4:$I$19,N39,$K$4:$K$19)</f>
        <v>0</v>
      </c>
      <c r="Z39" t="e">
        <f t="shared" ref="Z39:Z45" si="34">ROUNDDOWN(($D$3*$R39+1-$Q39*0)*$P39*Z$24*(1+$D$4)*(1+$D$5+$S39)*(1+$D$6),0)*MAX(1,$B$10)</f>
        <v>#N/A</v>
      </c>
      <c r="AA39" t="e">
        <f t="shared" ref="AA39:AA45" si="35">ROUNDDOWN(($D$3*$R39+1-$Q39*0)*$P39*AA$24*(1+$D$4)*(1+$D$5+$S39)*(1+0),0)*MAX(1,$B$10)</f>
        <v>#N/A</v>
      </c>
      <c r="AB39" t="e">
        <f t="shared" ref="AB39:AC45" si="36">ROUNDDOWN(($D$3*$R39+1-$Q39)*$P39*AB$24*(1+$D$4)*(1+$D$5+$S39)*(1+0),0)*MAX(1,$B$10)</f>
        <v>#N/A</v>
      </c>
      <c r="AC39" t="e">
        <f t="shared" si="36"/>
        <v>#N/A</v>
      </c>
      <c r="AM39">
        <f t="shared" si="29"/>
        <v>5</v>
      </c>
      <c r="AN39">
        <f t="shared" si="27"/>
        <v>6</v>
      </c>
      <c r="AO39" s="30">
        <f t="shared" si="28"/>
        <v>506</v>
      </c>
      <c r="AP39" s="16"/>
      <c r="AQ39" s="8" t="s">
        <v>53</v>
      </c>
      <c r="AR39" s="8" t="s">
        <v>59</v>
      </c>
      <c r="AS39" s="8">
        <v>198</v>
      </c>
      <c r="AT39" s="9">
        <v>0.35</v>
      </c>
      <c r="AU39" s="125">
        <v>14</v>
      </c>
      <c r="AV39" s="10" t="s">
        <v>182</v>
      </c>
    </row>
    <row r="40" spans="1:48">
      <c r="A40" s="54" t="str">
        <f>南国ビーチ用!AY15</f>
        <v>-</v>
      </c>
      <c r="B40" s="79"/>
      <c r="C40" s="80" t="str">
        <f>南国ビーチ用!BE15</f>
        <v>-</v>
      </c>
      <c r="D40" s="8" t="str">
        <f>南国ビーチ用!BA15</f>
        <v>-</v>
      </c>
      <c r="E40" s="8"/>
      <c r="F40" s="65" t="str">
        <f t="shared" si="30"/>
        <v>-</v>
      </c>
      <c r="G40" s="8" t="s">
        <v>186</v>
      </c>
      <c r="H40" s="98" t="str">
        <f t="shared" si="31"/>
        <v>-</v>
      </c>
      <c r="I40" s="67" t="str">
        <f t="shared" si="32"/>
        <v>-</v>
      </c>
      <c r="J40" s="67" t="str">
        <f t="shared" si="32"/>
        <v>-</v>
      </c>
      <c r="K40" s="65" t="str">
        <f t="shared" si="32"/>
        <v>-</v>
      </c>
      <c r="L40" s="10" t="str">
        <f t="shared" si="32"/>
        <v>-</v>
      </c>
      <c r="N40" t="e">
        <f>南国ビーチ用!AZ15</f>
        <v>#N/A</v>
      </c>
      <c r="O40" t="e">
        <f>南国ビーチ用!BB15</f>
        <v>#N/A</v>
      </c>
      <c r="P40" t="str">
        <f>南国ビーチ用!BC15</f>
        <v>-</v>
      </c>
      <c r="Q40" t="e">
        <f>南国ビーチ用!BD15</f>
        <v>#N/A</v>
      </c>
      <c r="R40">
        <v>1.5</v>
      </c>
      <c r="S40">
        <f t="shared" si="33"/>
        <v>0</v>
      </c>
      <c r="Z40" t="e">
        <f t="shared" si="34"/>
        <v>#N/A</v>
      </c>
      <c r="AA40" t="e">
        <f t="shared" si="35"/>
        <v>#N/A</v>
      </c>
      <c r="AB40" t="e">
        <f t="shared" si="36"/>
        <v>#N/A</v>
      </c>
      <c r="AC40" t="e">
        <f t="shared" si="36"/>
        <v>#N/A</v>
      </c>
      <c r="AM40">
        <f t="shared" si="29"/>
        <v>5</v>
      </c>
      <c r="AN40">
        <f t="shared" si="27"/>
        <v>7</v>
      </c>
      <c r="AO40" s="31">
        <f t="shared" si="28"/>
        <v>507</v>
      </c>
      <c r="AP40" s="17"/>
      <c r="AQ40" s="12" t="s">
        <v>53</v>
      </c>
      <c r="AR40" s="12" t="s">
        <v>60</v>
      </c>
      <c r="AS40" s="12">
        <v>50770</v>
      </c>
      <c r="AT40" s="13">
        <v>0.35</v>
      </c>
      <c r="AU40" s="126">
        <v>31</v>
      </c>
      <c r="AV40" s="14" t="s">
        <v>183</v>
      </c>
    </row>
    <row r="41" spans="1:48">
      <c r="A41" s="54" t="str">
        <f>南国ビーチ用!AY16</f>
        <v>-</v>
      </c>
      <c r="B41" s="79"/>
      <c r="C41" s="80" t="str">
        <f>南国ビーチ用!BE16</f>
        <v>-</v>
      </c>
      <c r="D41" s="8" t="str">
        <f>南国ビーチ用!BA16</f>
        <v>-</v>
      </c>
      <c r="E41" s="8"/>
      <c r="F41" s="65" t="str">
        <f t="shared" si="30"/>
        <v>-</v>
      </c>
      <c r="G41" s="8" t="s">
        <v>186</v>
      </c>
      <c r="H41" s="98" t="str">
        <f t="shared" si="31"/>
        <v>-</v>
      </c>
      <c r="I41" s="67" t="str">
        <f t="shared" si="32"/>
        <v>-</v>
      </c>
      <c r="J41" s="67" t="str">
        <f t="shared" si="32"/>
        <v>-</v>
      </c>
      <c r="K41" s="65" t="str">
        <f t="shared" si="32"/>
        <v>-</v>
      </c>
      <c r="L41" s="10" t="str">
        <f t="shared" si="32"/>
        <v>-</v>
      </c>
      <c r="N41" t="e">
        <f>南国ビーチ用!AZ16</f>
        <v>#N/A</v>
      </c>
      <c r="O41" t="e">
        <f>南国ビーチ用!BB16</f>
        <v>#N/A</v>
      </c>
      <c r="P41" t="str">
        <f>南国ビーチ用!BC16</f>
        <v>-</v>
      </c>
      <c r="Q41" t="e">
        <f>南国ビーチ用!BD16</f>
        <v>#N/A</v>
      </c>
      <c r="R41">
        <v>2.5</v>
      </c>
      <c r="S41">
        <f t="shared" si="33"/>
        <v>0</v>
      </c>
      <c r="Z41" t="e">
        <f t="shared" si="34"/>
        <v>#N/A</v>
      </c>
      <c r="AA41" t="e">
        <f t="shared" si="35"/>
        <v>#N/A</v>
      </c>
      <c r="AB41" t="e">
        <f t="shared" si="36"/>
        <v>#N/A</v>
      </c>
      <c r="AC41" t="e">
        <f t="shared" si="36"/>
        <v>#N/A</v>
      </c>
      <c r="AM41">
        <f t="shared" si="29"/>
        <v>6</v>
      </c>
      <c r="AN41">
        <f t="shared" si="27"/>
        <v>1</v>
      </c>
      <c r="AO41" s="29">
        <f t="shared" si="28"/>
        <v>601</v>
      </c>
      <c r="AP41" s="15"/>
      <c r="AQ41" s="4" t="s">
        <v>121</v>
      </c>
      <c r="AR41" s="4" t="s">
        <v>89</v>
      </c>
      <c r="AS41" s="4">
        <v>95</v>
      </c>
      <c r="AT41" s="5">
        <v>0.35</v>
      </c>
      <c r="AU41" s="124">
        <v>7</v>
      </c>
      <c r="AV41" s="6" t="s">
        <v>183</v>
      </c>
    </row>
    <row r="42" spans="1:48">
      <c r="A42" s="54" t="str">
        <f>南国ビーチ用!AY17</f>
        <v>-</v>
      </c>
      <c r="B42" s="79"/>
      <c r="C42" s="80" t="str">
        <f>南国ビーチ用!BE17</f>
        <v>-</v>
      </c>
      <c r="D42" s="8" t="str">
        <f>南国ビーチ用!BA17</f>
        <v>-</v>
      </c>
      <c r="E42" s="8"/>
      <c r="F42" s="65" t="str">
        <f t="shared" si="30"/>
        <v>-</v>
      </c>
      <c r="G42" s="8" t="s">
        <v>186</v>
      </c>
      <c r="H42" s="98" t="str">
        <f t="shared" si="31"/>
        <v>-</v>
      </c>
      <c r="I42" s="67" t="str">
        <f t="shared" si="32"/>
        <v>-</v>
      </c>
      <c r="J42" s="67" t="str">
        <f t="shared" si="32"/>
        <v>-</v>
      </c>
      <c r="K42" s="65" t="str">
        <f t="shared" si="32"/>
        <v>-</v>
      </c>
      <c r="L42" s="10" t="str">
        <f t="shared" si="32"/>
        <v>-</v>
      </c>
      <c r="N42" t="e">
        <f>南国ビーチ用!AZ17</f>
        <v>#N/A</v>
      </c>
      <c r="O42" t="e">
        <f>南国ビーチ用!BB17</f>
        <v>#N/A</v>
      </c>
      <c r="P42" t="str">
        <f>南国ビーチ用!BC17</f>
        <v>-</v>
      </c>
      <c r="Q42" t="e">
        <f>南国ビーチ用!BD17</f>
        <v>#N/A</v>
      </c>
      <c r="R42">
        <v>3.5</v>
      </c>
      <c r="S42">
        <f t="shared" si="33"/>
        <v>0</v>
      </c>
      <c r="Z42" t="e">
        <f t="shared" si="34"/>
        <v>#N/A</v>
      </c>
      <c r="AA42" t="e">
        <f t="shared" si="35"/>
        <v>#N/A</v>
      </c>
      <c r="AB42" t="e">
        <f t="shared" si="36"/>
        <v>#N/A</v>
      </c>
      <c r="AC42" t="e">
        <f t="shared" si="36"/>
        <v>#N/A</v>
      </c>
      <c r="AM42">
        <f t="shared" si="29"/>
        <v>6</v>
      </c>
      <c r="AN42">
        <f t="shared" si="27"/>
        <v>2</v>
      </c>
      <c r="AO42" s="30">
        <f t="shared" si="28"/>
        <v>602</v>
      </c>
      <c r="AP42" s="16"/>
      <c r="AQ42" s="8" t="s">
        <v>121</v>
      </c>
      <c r="AR42" s="8" t="s">
        <v>90</v>
      </c>
      <c r="AS42" s="8">
        <v>114</v>
      </c>
      <c r="AT42" s="9">
        <v>0.5</v>
      </c>
      <c r="AU42" s="125">
        <v>3</v>
      </c>
      <c r="AV42" s="10" t="s">
        <v>183</v>
      </c>
    </row>
    <row r="43" spans="1:48">
      <c r="A43" s="54" t="str">
        <f>南国ビーチ用!AY18</f>
        <v>-</v>
      </c>
      <c r="B43" s="79"/>
      <c r="C43" s="80" t="str">
        <f>南国ビーチ用!BE18</f>
        <v>-</v>
      </c>
      <c r="D43" s="8" t="str">
        <f>南国ビーチ用!BA18</f>
        <v>-</v>
      </c>
      <c r="E43" s="8"/>
      <c r="F43" s="65" t="str">
        <f t="shared" si="30"/>
        <v>-</v>
      </c>
      <c r="G43" s="8" t="s">
        <v>186</v>
      </c>
      <c r="H43" s="98" t="str">
        <f t="shared" si="31"/>
        <v>-</v>
      </c>
      <c r="I43" s="67" t="str">
        <f t="shared" si="32"/>
        <v>-</v>
      </c>
      <c r="J43" s="67" t="str">
        <f t="shared" si="32"/>
        <v>-</v>
      </c>
      <c r="K43" s="65" t="str">
        <f t="shared" si="32"/>
        <v>-</v>
      </c>
      <c r="L43" s="10" t="str">
        <f t="shared" si="32"/>
        <v>-</v>
      </c>
      <c r="N43" t="e">
        <f>南国ビーチ用!AZ18</f>
        <v>#N/A</v>
      </c>
      <c r="O43" t="e">
        <f>南国ビーチ用!BB18</f>
        <v>#N/A</v>
      </c>
      <c r="P43" t="str">
        <f>南国ビーチ用!BC18</f>
        <v>-</v>
      </c>
      <c r="Q43" t="e">
        <f>南国ビーチ用!BD18</f>
        <v>#N/A</v>
      </c>
      <c r="R43">
        <v>4.5</v>
      </c>
      <c r="S43">
        <f t="shared" si="33"/>
        <v>0</v>
      </c>
      <c r="Z43" t="e">
        <f t="shared" si="34"/>
        <v>#N/A</v>
      </c>
      <c r="AA43" t="e">
        <f t="shared" si="35"/>
        <v>#N/A</v>
      </c>
      <c r="AB43" t="e">
        <f t="shared" si="36"/>
        <v>#N/A</v>
      </c>
      <c r="AC43" t="e">
        <f t="shared" si="36"/>
        <v>#N/A</v>
      </c>
      <c r="AM43">
        <f t="shared" si="29"/>
        <v>6</v>
      </c>
      <c r="AN43">
        <f t="shared" si="27"/>
        <v>3</v>
      </c>
      <c r="AO43" s="30">
        <f t="shared" si="28"/>
        <v>603</v>
      </c>
      <c r="AP43" s="16"/>
      <c r="AQ43" s="8" t="s">
        <v>121</v>
      </c>
      <c r="AR43" s="8" t="s">
        <v>91</v>
      </c>
      <c r="AS43" s="8">
        <v>156</v>
      </c>
      <c r="AT43" s="9">
        <v>0.5</v>
      </c>
      <c r="AU43" s="125">
        <v>3</v>
      </c>
      <c r="AV43" s="10" t="s">
        <v>183</v>
      </c>
    </row>
    <row r="44" spans="1:48">
      <c r="A44" s="54" t="str">
        <f>南国ビーチ用!AY19</f>
        <v>-</v>
      </c>
      <c r="B44" s="79"/>
      <c r="C44" s="80" t="str">
        <f>南国ビーチ用!BE19</f>
        <v>-</v>
      </c>
      <c r="D44" s="8" t="str">
        <f>南国ビーチ用!BA19</f>
        <v>-</v>
      </c>
      <c r="E44" s="8"/>
      <c r="F44" s="65" t="str">
        <f t="shared" si="30"/>
        <v>-</v>
      </c>
      <c r="G44" s="8" t="s">
        <v>186</v>
      </c>
      <c r="H44" s="98" t="str">
        <f t="shared" si="31"/>
        <v>-</v>
      </c>
      <c r="I44" s="67" t="str">
        <f t="shared" si="32"/>
        <v>-</v>
      </c>
      <c r="J44" s="67" t="str">
        <f t="shared" si="32"/>
        <v>-</v>
      </c>
      <c r="K44" s="65" t="str">
        <f t="shared" si="32"/>
        <v>-</v>
      </c>
      <c r="L44" s="10" t="str">
        <f t="shared" si="32"/>
        <v>-</v>
      </c>
      <c r="N44" t="e">
        <f>南国ビーチ用!AZ19</f>
        <v>#N/A</v>
      </c>
      <c r="O44" t="e">
        <f>南国ビーチ用!BB19</f>
        <v>#N/A</v>
      </c>
      <c r="P44" t="str">
        <f>南国ビーチ用!BC19</f>
        <v>-</v>
      </c>
      <c r="Q44" t="e">
        <f>南国ビーチ用!BD19</f>
        <v>#N/A</v>
      </c>
      <c r="R44">
        <v>5.5</v>
      </c>
      <c r="S44">
        <f t="shared" si="33"/>
        <v>0</v>
      </c>
      <c r="Z44" t="e">
        <f t="shared" si="34"/>
        <v>#N/A</v>
      </c>
      <c r="AA44" t="e">
        <f t="shared" si="35"/>
        <v>#N/A</v>
      </c>
      <c r="AB44" t="e">
        <f t="shared" si="36"/>
        <v>#N/A</v>
      </c>
      <c r="AC44" t="e">
        <f t="shared" si="36"/>
        <v>#N/A</v>
      </c>
      <c r="AM44">
        <f t="shared" si="29"/>
        <v>6</v>
      </c>
      <c r="AN44">
        <f t="shared" si="27"/>
        <v>4</v>
      </c>
      <c r="AO44" s="30">
        <f t="shared" si="28"/>
        <v>604</v>
      </c>
      <c r="AP44" s="16"/>
      <c r="AQ44" s="8" t="s">
        <v>121</v>
      </c>
      <c r="AR44" s="8" t="s">
        <v>92</v>
      </c>
      <c r="AS44" s="8">
        <v>168</v>
      </c>
      <c r="AT44" s="9">
        <v>0.35</v>
      </c>
      <c r="AU44" s="125">
        <v>6</v>
      </c>
      <c r="AV44" s="10" t="s">
        <v>183</v>
      </c>
    </row>
    <row r="45" spans="1:48">
      <c r="A45" s="54" t="str">
        <f>南国ビーチ用!AY20</f>
        <v>-</v>
      </c>
      <c r="B45" s="81"/>
      <c r="C45" s="82" t="str">
        <f>南国ビーチ用!BE20</f>
        <v>-</v>
      </c>
      <c r="D45" s="12" t="str">
        <f>南国ビーチ用!BA20</f>
        <v>-</v>
      </c>
      <c r="E45" s="12"/>
      <c r="F45" s="84" t="str">
        <f t="shared" si="30"/>
        <v>-</v>
      </c>
      <c r="G45" s="12" t="s">
        <v>186</v>
      </c>
      <c r="H45" s="99" t="str">
        <f t="shared" si="31"/>
        <v>-</v>
      </c>
      <c r="I45" s="83" t="str">
        <f t="shared" si="32"/>
        <v>-</v>
      </c>
      <c r="J45" s="83" t="str">
        <f t="shared" si="32"/>
        <v>-</v>
      </c>
      <c r="K45" s="84" t="str">
        <f t="shared" si="32"/>
        <v>-</v>
      </c>
      <c r="L45" s="14" t="str">
        <f t="shared" si="32"/>
        <v>-</v>
      </c>
      <c r="N45" t="e">
        <f>南国ビーチ用!AZ20</f>
        <v>#N/A</v>
      </c>
      <c r="O45" t="e">
        <f>南国ビーチ用!BB20</f>
        <v>#N/A</v>
      </c>
      <c r="P45" t="str">
        <f>南国ビーチ用!BC20</f>
        <v>-</v>
      </c>
      <c r="Q45" t="e">
        <f>南国ビーチ用!BD20</f>
        <v>#N/A</v>
      </c>
      <c r="R45">
        <v>6.5</v>
      </c>
      <c r="S45">
        <f t="shared" si="33"/>
        <v>0</v>
      </c>
      <c r="Z45" t="e">
        <f t="shared" si="34"/>
        <v>#N/A</v>
      </c>
      <c r="AA45" t="e">
        <f t="shared" si="35"/>
        <v>#N/A</v>
      </c>
      <c r="AB45" t="e">
        <f t="shared" si="36"/>
        <v>#N/A</v>
      </c>
      <c r="AC45" t="e">
        <f t="shared" si="36"/>
        <v>#N/A</v>
      </c>
      <c r="AM45">
        <f t="shared" si="29"/>
        <v>6</v>
      </c>
      <c r="AN45">
        <f t="shared" si="27"/>
        <v>5</v>
      </c>
      <c r="AO45" s="30">
        <f t="shared" si="28"/>
        <v>605</v>
      </c>
      <c r="AP45" s="16"/>
      <c r="AQ45" s="8" t="s">
        <v>121</v>
      </c>
      <c r="AR45" s="8" t="s">
        <v>93</v>
      </c>
      <c r="AS45" s="8">
        <v>206</v>
      </c>
      <c r="AT45" s="9">
        <v>0.5</v>
      </c>
      <c r="AU45" s="125">
        <v>9</v>
      </c>
      <c r="AV45" s="10" t="s">
        <v>183</v>
      </c>
    </row>
    <row r="46" spans="1:48">
      <c r="AM46">
        <f t="shared" si="29"/>
        <v>6</v>
      </c>
      <c r="AN46">
        <f t="shared" si="27"/>
        <v>6</v>
      </c>
      <c r="AO46" s="30">
        <f t="shared" si="28"/>
        <v>606</v>
      </c>
      <c r="AP46" s="16"/>
      <c r="AQ46" s="8" t="s">
        <v>121</v>
      </c>
      <c r="AR46" s="8" t="s">
        <v>94</v>
      </c>
      <c r="AS46" s="8">
        <v>1062</v>
      </c>
      <c r="AT46" s="9">
        <v>0.25</v>
      </c>
      <c r="AU46" s="125">
        <v>11</v>
      </c>
      <c r="AV46" s="10" t="s">
        <v>183</v>
      </c>
    </row>
    <row r="47" spans="1:48">
      <c r="AM47">
        <f t="shared" si="29"/>
        <v>6</v>
      </c>
      <c r="AN47">
        <f t="shared" si="27"/>
        <v>7</v>
      </c>
      <c r="AO47" s="31">
        <f t="shared" si="28"/>
        <v>607</v>
      </c>
      <c r="AP47" s="17"/>
      <c r="AQ47" s="12" t="s">
        <v>121</v>
      </c>
      <c r="AR47" s="12" t="s">
        <v>95</v>
      </c>
      <c r="AS47" s="12">
        <v>1401</v>
      </c>
      <c r="AT47" s="13">
        <v>0.35</v>
      </c>
      <c r="AU47" s="126">
        <v>21</v>
      </c>
      <c r="AV47" s="14" t="s">
        <v>183</v>
      </c>
    </row>
    <row r="48" spans="1:48">
      <c r="AM48">
        <f t="shared" si="29"/>
        <v>7</v>
      </c>
      <c r="AN48">
        <f t="shared" si="27"/>
        <v>1</v>
      </c>
      <c r="AO48" s="29">
        <f t="shared" si="28"/>
        <v>701</v>
      </c>
      <c r="AP48" s="15"/>
      <c r="AQ48" s="4" t="s">
        <v>61</v>
      </c>
      <c r="AR48" s="4" t="s">
        <v>62</v>
      </c>
      <c r="AS48" s="4">
        <v>150</v>
      </c>
      <c r="AT48" s="5">
        <v>0.5</v>
      </c>
      <c r="AU48" s="124">
        <v>1</v>
      </c>
      <c r="AV48" s="6" t="s">
        <v>183</v>
      </c>
    </row>
    <row r="49" spans="39:48">
      <c r="AM49">
        <f t="shared" si="29"/>
        <v>7</v>
      </c>
      <c r="AN49">
        <f t="shared" si="27"/>
        <v>2</v>
      </c>
      <c r="AO49" s="30">
        <f t="shared" si="28"/>
        <v>702</v>
      </c>
      <c r="AP49" s="16"/>
      <c r="AQ49" s="8" t="s">
        <v>61</v>
      </c>
      <c r="AR49" s="8" t="s">
        <v>63</v>
      </c>
      <c r="AS49" s="8">
        <v>179</v>
      </c>
      <c r="AT49" s="9">
        <v>1</v>
      </c>
      <c r="AU49" s="125">
        <v>18</v>
      </c>
      <c r="AV49" s="10" t="s">
        <v>183</v>
      </c>
    </row>
    <row r="50" spans="39:48">
      <c r="AM50">
        <f t="shared" si="29"/>
        <v>7</v>
      </c>
      <c r="AN50">
        <f t="shared" si="27"/>
        <v>3</v>
      </c>
      <c r="AO50" s="30">
        <f t="shared" si="28"/>
        <v>703</v>
      </c>
      <c r="AP50" s="16"/>
      <c r="AQ50" s="8" t="s">
        <v>61</v>
      </c>
      <c r="AR50" s="8" t="s">
        <v>64</v>
      </c>
      <c r="AS50" s="8">
        <v>210</v>
      </c>
      <c r="AT50" s="9">
        <v>1</v>
      </c>
      <c r="AU50" s="125">
        <v>7</v>
      </c>
      <c r="AV50" s="10" t="s">
        <v>183</v>
      </c>
    </row>
    <row r="51" spans="39:48">
      <c r="AM51">
        <f t="shared" si="29"/>
        <v>7</v>
      </c>
      <c r="AN51">
        <f t="shared" si="27"/>
        <v>4</v>
      </c>
      <c r="AO51" s="30">
        <f t="shared" si="28"/>
        <v>704</v>
      </c>
      <c r="AP51" s="16"/>
      <c r="AQ51" s="8" t="s">
        <v>61</v>
      </c>
      <c r="AR51" s="8" t="s">
        <v>65</v>
      </c>
      <c r="AS51" s="8">
        <v>278</v>
      </c>
      <c r="AT51" s="9">
        <v>0.65</v>
      </c>
      <c r="AU51" s="125">
        <v>17</v>
      </c>
      <c r="AV51" s="10" t="s">
        <v>183</v>
      </c>
    </row>
    <row r="52" spans="39:48">
      <c r="AM52">
        <f t="shared" si="29"/>
        <v>7</v>
      </c>
      <c r="AN52">
        <f t="shared" si="27"/>
        <v>5</v>
      </c>
      <c r="AO52" s="31">
        <f t="shared" si="28"/>
        <v>705</v>
      </c>
      <c r="AP52" s="17"/>
      <c r="AQ52" s="12" t="s">
        <v>61</v>
      </c>
      <c r="AR52" s="12" t="s">
        <v>66</v>
      </c>
      <c r="AS52" s="12">
        <v>1421</v>
      </c>
      <c r="AT52" s="13">
        <v>1.4</v>
      </c>
      <c r="AU52" s="126">
        <v>36</v>
      </c>
      <c r="AV52" s="14" t="s">
        <v>183</v>
      </c>
    </row>
    <row r="53" spans="39:48">
      <c r="AM53">
        <f t="shared" si="29"/>
        <v>8</v>
      </c>
      <c r="AN53">
        <f t="shared" si="27"/>
        <v>1</v>
      </c>
      <c r="AO53" s="29">
        <f t="shared" si="28"/>
        <v>801</v>
      </c>
      <c r="AP53" s="15"/>
      <c r="AQ53" s="4" t="s">
        <v>46</v>
      </c>
      <c r="AR53" s="4" t="s">
        <v>47</v>
      </c>
      <c r="AS53" s="4">
        <v>105</v>
      </c>
      <c r="AT53" s="5">
        <v>0.35</v>
      </c>
      <c r="AU53" s="124">
        <v>16</v>
      </c>
      <c r="AV53" s="6" t="s">
        <v>183</v>
      </c>
    </row>
    <row r="54" spans="39:48">
      <c r="AM54">
        <f t="shared" si="29"/>
        <v>8</v>
      </c>
      <c r="AN54">
        <f t="shared" si="27"/>
        <v>2</v>
      </c>
      <c r="AO54" s="30">
        <f t="shared" si="28"/>
        <v>802</v>
      </c>
      <c r="AP54" s="16"/>
      <c r="AQ54" s="8" t="s">
        <v>46</v>
      </c>
      <c r="AR54" s="8" t="s">
        <v>48</v>
      </c>
      <c r="AS54" s="8">
        <v>144</v>
      </c>
      <c r="AT54" s="9">
        <v>0.35</v>
      </c>
      <c r="AU54" s="125">
        <v>19</v>
      </c>
      <c r="AV54" s="10" t="s">
        <v>183</v>
      </c>
    </row>
    <row r="55" spans="39:48">
      <c r="AM55">
        <f t="shared" si="29"/>
        <v>8</v>
      </c>
      <c r="AN55">
        <f t="shared" si="27"/>
        <v>3</v>
      </c>
      <c r="AO55" s="30">
        <f t="shared" si="28"/>
        <v>803</v>
      </c>
      <c r="AP55" s="16"/>
      <c r="AQ55" s="8" t="s">
        <v>46</v>
      </c>
      <c r="AR55" s="8" t="s">
        <v>49</v>
      </c>
      <c r="AS55" s="8">
        <v>158</v>
      </c>
      <c r="AT55" s="9">
        <v>0.75</v>
      </c>
      <c r="AU55" s="125">
        <v>17</v>
      </c>
      <c r="AV55" s="10" t="s">
        <v>183</v>
      </c>
    </row>
    <row r="56" spans="39:48">
      <c r="AM56">
        <f t="shared" si="29"/>
        <v>8</v>
      </c>
      <c r="AN56">
        <f t="shared" si="27"/>
        <v>4</v>
      </c>
      <c r="AO56" s="30">
        <f t="shared" si="28"/>
        <v>804</v>
      </c>
      <c r="AP56" s="16"/>
      <c r="AQ56" s="8" t="s">
        <v>46</v>
      </c>
      <c r="AR56" s="8" t="s">
        <v>52</v>
      </c>
      <c r="AS56" s="8">
        <v>270</v>
      </c>
      <c r="AT56" s="9">
        <v>2</v>
      </c>
      <c r="AU56" s="125">
        <v>9</v>
      </c>
      <c r="AV56" s="10" t="s">
        <v>183</v>
      </c>
    </row>
    <row r="57" spans="39:48">
      <c r="AM57">
        <f t="shared" si="29"/>
        <v>8</v>
      </c>
      <c r="AN57">
        <f t="shared" si="27"/>
        <v>5</v>
      </c>
      <c r="AO57" s="30">
        <f t="shared" si="28"/>
        <v>805</v>
      </c>
      <c r="AP57" s="16"/>
      <c r="AQ57" s="8" t="s">
        <v>46</v>
      </c>
      <c r="AR57" s="8" t="s">
        <v>50</v>
      </c>
      <c r="AS57" s="8">
        <v>278</v>
      </c>
      <c r="AT57" s="9">
        <v>0.75</v>
      </c>
      <c r="AU57" s="125">
        <v>31</v>
      </c>
      <c r="AV57" s="10" t="s">
        <v>183</v>
      </c>
    </row>
    <row r="58" spans="39:48">
      <c r="AM58">
        <f t="shared" si="29"/>
        <v>8</v>
      </c>
      <c r="AN58">
        <f t="shared" si="27"/>
        <v>6</v>
      </c>
      <c r="AO58" s="30">
        <f t="shared" si="28"/>
        <v>806</v>
      </c>
      <c r="AP58" s="16"/>
      <c r="AQ58" s="8" t="s">
        <v>46</v>
      </c>
      <c r="AR58" s="8" t="s">
        <v>185</v>
      </c>
      <c r="AS58" s="8">
        <v>711</v>
      </c>
      <c r="AT58" s="9">
        <v>0.7</v>
      </c>
      <c r="AU58" s="125">
        <v>25</v>
      </c>
      <c r="AV58" s="10" t="s">
        <v>183</v>
      </c>
    </row>
    <row r="59" spans="39:48">
      <c r="AM59">
        <f t="shared" si="29"/>
        <v>8</v>
      </c>
      <c r="AN59">
        <f t="shared" si="27"/>
        <v>7</v>
      </c>
      <c r="AO59" s="30">
        <f t="shared" si="28"/>
        <v>807</v>
      </c>
      <c r="AP59" s="16"/>
      <c r="AQ59" s="8" t="s">
        <v>46</v>
      </c>
      <c r="AR59" s="8" t="s">
        <v>184</v>
      </c>
      <c r="AS59" s="8">
        <v>1094</v>
      </c>
      <c r="AT59" s="9">
        <v>0.75</v>
      </c>
      <c r="AU59" s="125">
        <v>24</v>
      </c>
      <c r="AV59" s="10" t="s">
        <v>183</v>
      </c>
    </row>
    <row r="60" spans="39:48">
      <c r="AM60">
        <f t="shared" si="29"/>
        <v>8</v>
      </c>
      <c r="AN60">
        <f t="shared" si="27"/>
        <v>8</v>
      </c>
      <c r="AO60" s="31">
        <f t="shared" si="28"/>
        <v>808</v>
      </c>
      <c r="AP60" s="17"/>
      <c r="AQ60" s="12" t="s">
        <v>46</v>
      </c>
      <c r="AR60" s="12" t="s">
        <v>51</v>
      </c>
      <c r="AS60" s="12">
        <v>101303</v>
      </c>
      <c r="AT60" s="13">
        <v>0.25</v>
      </c>
      <c r="AU60" s="126">
        <v>43</v>
      </c>
      <c r="AV60" s="14" t="s">
        <v>183</v>
      </c>
    </row>
    <row r="61" spans="39:48">
      <c r="AM61">
        <f t="shared" si="29"/>
        <v>9</v>
      </c>
      <c r="AN61">
        <f t="shared" si="27"/>
        <v>1</v>
      </c>
      <c r="AO61" s="29">
        <f t="shared" si="28"/>
        <v>901</v>
      </c>
      <c r="AP61" s="15"/>
      <c r="AQ61" s="4" t="s">
        <v>75</v>
      </c>
      <c r="AR61" s="4" t="s">
        <v>76</v>
      </c>
      <c r="AS61" s="4">
        <v>119</v>
      </c>
      <c r="AT61" s="5">
        <v>0.75</v>
      </c>
      <c r="AU61" s="124">
        <v>14</v>
      </c>
      <c r="AV61" s="6" t="s">
        <v>183</v>
      </c>
    </row>
    <row r="62" spans="39:48">
      <c r="AM62">
        <f t="shared" si="29"/>
        <v>9</v>
      </c>
      <c r="AN62">
        <f t="shared" si="27"/>
        <v>2</v>
      </c>
      <c r="AO62" s="30">
        <f t="shared" si="28"/>
        <v>902</v>
      </c>
      <c r="AP62" s="16"/>
      <c r="AQ62" s="8" t="s">
        <v>75</v>
      </c>
      <c r="AR62" s="8" t="s">
        <v>77</v>
      </c>
      <c r="AS62" s="8">
        <v>127</v>
      </c>
      <c r="AT62" s="9">
        <v>0.75</v>
      </c>
      <c r="AU62" s="125">
        <v>7</v>
      </c>
      <c r="AV62" s="10" t="s">
        <v>183</v>
      </c>
    </row>
    <row r="63" spans="39:48">
      <c r="AM63">
        <f t="shared" si="29"/>
        <v>9</v>
      </c>
      <c r="AN63">
        <f t="shared" si="27"/>
        <v>3</v>
      </c>
      <c r="AO63" s="30">
        <f t="shared" si="28"/>
        <v>903</v>
      </c>
      <c r="AP63" s="16"/>
      <c r="AQ63" s="8" t="s">
        <v>75</v>
      </c>
      <c r="AR63" s="8" t="s">
        <v>78</v>
      </c>
      <c r="AS63" s="8">
        <v>160</v>
      </c>
      <c r="AT63" s="9">
        <v>2</v>
      </c>
      <c r="AU63" s="125">
        <v>3</v>
      </c>
      <c r="AV63" s="10" t="s">
        <v>183</v>
      </c>
    </row>
    <row r="64" spans="39:48">
      <c r="AM64">
        <f t="shared" si="29"/>
        <v>9</v>
      </c>
      <c r="AN64">
        <f t="shared" si="27"/>
        <v>4</v>
      </c>
      <c r="AO64" s="30">
        <f t="shared" si="28"/>
        <v>904</v>
      </c>
      <c r="AP64" s="16"/>
      <c r="AQ64" s="8" t="s">
        <v>75</v>
      </c>
      <c r="AR64" s="8" t="s">
        <v>79</v>
      </c>
      <c r="AS64" s="8">
        <v>197</v>
      </c>
      <c r="AT64" s="9">
        <v>0.75</v>
      </c>
      <c r="AU64" s="125">
        <v>14</v>
      </c>
      <c r="AV64" s="10" t="s">
        <v>183</v>
      </c>
    </row>
    <row r="65" spans="39:48">
      <c r="AM65">
        <f t="shared" si="29"/>
        <v>9</v>
      </c>
      <c r="AN65">
        <f t="shared" si="27"/>
        <v>5</v>
      </c>
      <c r="AO65" s="30">
        <f t="shared" si="28"/>
        <v>905</v>
      </c>
      <c r="AP65" s="16"/>
      <c r="AQ65" s="8" t="s">
        <v>75</v>
      </c>
      <c r="AR65" s="8" t="s">
        <v>80</v>
      </c>
      <c r="AS65" s="8">
        <v>141</v>
      </c>
      <c r="AT65" s="9">
        <v>0.5</v>
      </c>
      <c r="AU65" s="125">
        <v>13</v>
      </c>
      <c r="AV65" s="10" t="s">
        <v>183</v>
      </c>
    </row>
    <row r="66" spans="39:48">
      <c r="AM66">
        <f t="shared" si="29"/>
        <v>9</v>
      </c>
      <c r="AN66">
        <f t="shared" ref="AN66:AN97" si="37">IF(AQ66=AQ65,AN65+1,1)</f>
        <v>6</v>
      </c>
      <c r="AO66" s="30">
        <f t="shared" ref="AO66:AO97" si="38">AM66*100+AN66</f>
        <v>906</v>
      </c>
      <c r="AP66" s="16"/>
      <c r="AQ66" s="8" t="s">
        <v>75</v>
      </c>
      <c r="AR66" s="8" t="s">
        <v>81</v>
      </c>
      <c r="AS66" s="8">
        <v>484</v>
      </c>
      <c r="AT66" s="9">
        <v>2</v>
      </c>
      <c r="AU66" s="125">
        <v>9</v>
      </c>
      <c r="AV66" s="10" t="s">
        <v>183</v>
      </c>
    </row>
    <row r="67" spans="39:48">
      <c r="AM67">
        <f t="shared" ref="AM67:AM98" si="39">IF(AQ67=AQ66,AM66,AM66+1)</f>
        <v>9</v>
      </c>
      <c r="AN67">
        <f t="shared" si="37"/>
        <v>7</v>
      </c>
      <c r="AO67" s="30">
        <f t="shared" si="38"/>
        <v>907</v>
      </c>
      <c r="AP67" s="16"/>
      <c r="AQ67" s="8" t="s">
        <v>75</v>
      </c>
      <c r="AR67" s="8" t="s">
        <v>82</v>
      </c>
      <c r="AS67" s="8">
        <v>1081</v>
      </c>
      <c r="AT67" s="9">
        <v>0.25</v>
      </c>
      <c r="AU67" s="125">
        <v>12</v>
      </c>
      <c r="AV67" s="10" t="s">
        <v>183</v>
      </c>
    </row>
    <row r="68" spans="39:48">
      <c r="AM68">
        <f t="shared" si="39"/>
        <v>9</v>
      </c>
      <c r="AN68">
        <f t="shared" si="37"/>
        <v>8</v>
      </c>
      <c r="AO68" s="30">
        <f t="shared" si="38"/>
        <v>908</v>
      </c>
      <c r="AP68" s="16"/>
      <c r="AQ68" s="8" t="s">
        <v>75</v>
      </c>
      <c r="AR68" s="8" t="s">
        <v>83</v>
      </c>
      <c r="AS68" s="8">
        <v>1207</v>
      </c>
      <c r="AT68" s="9">
        <v>0.75</v>
      </c>
      <c r="AU68" s="125">
        <v>21</v>
      </c>
      <c r="AV68" s="10" t="s">
        <v>183</v>
      </c>
    </row>
    <row r="69" spans="39:48">
      <c r="AM69">
        <f t="shared" si="39"/>
        <v>9</v>
      </c>
      <c r="AN69">
        <f t="shared" si="37"/>
        <v>9</v>
      </c>
      <c r="AO69" s="30">
        <f t="shared" si="38"/>
        <v>909</v>
      </c>
      <c r="AP69" s="16"/>
      <c r="AQ69" s="8" t="s">
        <v>75</v>
      </c>
      <c r="AR69" s="8" t="s">
        <v>84</v>
      </c>
      <c r="AS69" s="8">
        <v>1076</v>
      </c>
      <c r="AT69" s="9">
        <v>0.5</v>
      </c>
      <c r="AU69" s="125">
        <v>31</v>
      </c>
      <c r="AV69" s="10" t="s">
        <v>181</v>
      </c>
    </row>
    <row r="70" spans="39:48">
      <c r="AM70">
        <f t="shared" si="39"/>
        <v>9</v>
      </c>
      <c r="AN70">
        <f t="shared" si="37"/>
        <v>10</v>
      </c>
      <c r="AO70" s="30">
        <f t="shared" si="38"/>
        <v>910</v>
      </c>
      <c r="AP70" s="16"/>
      <c r="AQ70" s="8" t="s">
        <v>75</v>
      </c>
      <c r="AR70" s="8" t="s">
        <v>85</v>
      </c>
      <c r="AS70" s="8">
        <v>81310</v>
      </c>
      <c r="AT70" s="9">
        <v>1.5</v>
      </c>
      <c r="AU70" s="125">
        <v>15</v>
      </c>
      <c r="AV70" s="10" t="s">
        <v>183</v>
      </c>
    </row>
    <row r="71" spans="39:48">
      <c r="AM71">
        <f t="shared" si="39"/>
        <v>9</v>
      </c>
      <c r="AN71">
        <f t="shared" si="37"/>
        <v>11</v>
      </c>
      <c r="AO71" s="30">
        <f t="shared" si="38"/>
        <v>911</v>
      </c>
      <c r="AP71" s="16"/>
      <c r="AQ71" s="8" t="s">
        <v>75</v>
      </c>
      <c r="AR71" s="8" t="s">
        <v>86</v>
      </c>
      <c r="AS71" s="8">
        <v>81197</v>
      </c>
      <c r="AT71" s="9">
        <v>2</v>
      </c>
      <c r="AU71" s="125">
        <v>38</v>
      </c>
      <c r="AV71" s="10" t="s">
        <v>183</v>
      </c>
    </row>
    <row r="72" spans="39:48">
      <c r="AM72">
        <f t="shared" si="39"/>
        <v>9</v>
      </c>
      <c r="AN72">
        <f t="shared" si="37"/>
        <v>12</v>
      </c>
      <c r="AO72" s="30">
        <f t="shared" si="38"/>
        <v>912</v>
      </c>
      <c r="AP72" s="16"/>
      <c r="AQ72" s="8" t="s">
        <v>75</v>
      </c>
      <c r="AR72" s="8" t="s">
        <v>87</v>
      </c>
      <c r="AS72" s="8">
        <v>81200</v>
      </c>
      <c r="AT72" s="9">
        <v>2</v>
      </c>
      <c r="AU72" s="125">
        <v>26</v>
      </c>
      <c r="AV72" s="10" t="s">
        <v>183</v>
      </c>
    </row>
    <row r="73" spans="39:48">
      <c r="AM73">
        <f t="shared" si="39"/>
        <v>9</v>
      </c>
      <c r="AN73">
        <f t="shared" si="37"/>
        <v>13</v>
      </c>
      <c r="AO73" s="31">
        <f t="shared" si="38"/>
        <v>913</v>
      </c>
      <c r="AP73" s="17"/>
      <c r="AQ73" s="12" t="s">
        <v>75</v>
      </c>
      <c r="AR73" s="12" t="s">
        <v>88</v>
      </c>
      <c r="AS73" s="12">
        <v>101418</v>
      </c>
      <c r="AT73" s="13">
        <v>0.65</v>
      </c>
      <c r="AU73" s="126">
        <v>19</v>
      </c>
      <c r="AV73" s="14" t="s">
        <v>183</v>
      </c>
    </row>
    <row r="74" spans="39:48">
      <c r="AM74">
        <f t="shared" si="39"/>
        <v>10</v>
      </c>
      <c r="AN74">
        <f t="shared" si="37"/>
        <v>1</v>
      </c>
      <c r="AO74" s="29">
        <f t="shared" si="38"/>
        <v>1001</v>
      </c>
      <c r="AP74" s="15"/>
      <c r="AQ74" s="4" t="s">
        <v>120</v>
      </c>
      <c r="AR74" s="4" t="s">
        <v>96</v>
      </c>
      <c r="AS74" s="4">
        <v>106</v>
      </c>
      <c r="AT74" s="5">
        <v>1.5</v>
      </c>
      <c r="AU74" s="124">
        <v>14</v>
      </c>
      <c r="AV74" s="6" t="s">
        <v>183</v>
      </c>
    </row>
    <row r="75" spans="39:48">
      <c r="AM75">
        <f t="shared" si="39"/>
        <v>10</v>
      </c>
      <c r="AN75">
        <f t="shared" si="37"/>
        <v>2</v>
      </c>
      <c r="AO75" s="30">
        <f t="shared" si="38"/>
        <v>1002</v>
      </c>
      <c r="AP75" s="16"/>
      <c r="AQ75" s="8" t="s">
        <v>120</v>
      </c>
      <c r="AR75" s="8" t="s">
        <v>97</v>
      </c>
      <c r="AS75" s="8">
        <v>134</v>
      </c>
      <c r="AT75" s="9">
        <v>1.5</v>
      </c>
      <c r="AU75" s="125">
        <v>5</v>
      </c>
      <c r="AV75" s="10" t="s">
        <v>183</v>
      </c>
    </row>
    <row r="76" spans="39:48">
      <c r="AM76">
        <f t="shared" si="39"/>
        <v>10</v>
      </c>
      <c r="AN76">
        <f t="shared" si="37"/>
        <v>3</v>
      </c>
      <c r="AO76" s="30">
        <f t="shared" si="38"/>
        <v>1003</v>
      </c>
      <c r="AP76" s="16"/>
      <c r="AQ76" s="8" t="s">
        <v>120</v>
      </c>
      <c r="AR76" s="8" t="s">
        <v>98</v>
      </c>
      <c r="AS76" s="8">
        <v>161</v>
      </c>
      <c r="AT76" s="9">
        <v>1.5</v>
      </c>
      <c r="AU76" s="125">
        <v>13</v>
      </c>
      <c r="AV76" s="10" t="s">
        <v>183</v>
      </c>
    </row>
    <row r="77" spans="39:48">
      <c r="AM77">
        <f t="shared" si="39"/>
        <v>10</v>
      </c>
      <c r="AN77">
        <f t="shared" si="37"/>
        <v>4</v>
      </c>
      <c r="AO77" s="30">
        <f t="shared" si="38"/>
        <v>1004</v>
      </c>
      <c r="AP77" s="16"/>
      <c r="AQ77" s="8" t="s">
        <v>120</v>
      </c>
      <c r="AR77" s="8" t="s">
        <v>99</v>
      </c>
      <c r="AS77" s="8">
        <v>207</v>
      </c>
      <c r="AT77" s="9">
        <v>1.5</v>
      </c>
      <c r="AU77" s="125">
        <v>11</v>
      </c>
      <c r="AV77" s="10" t="s">
        <v>183</v>
      </c>
    </row>
    <row r="78" spans="39:48">
      <c r="AM78">
        <f t="shared" si="39"/>
        <v>10</v>
      </c>
      <c r="AN78">
        <f t="shared" si="37"/>
        <v>5</v>
      </c>
      <c r="AO78" s="30">
        <f t="shared" si="38"/>
        <v>1005</v>
      </c>
      <c r="AP78" s="16"/>
      <c r="AQ78" s="8" t="s">
        <v>120</v>
      </c>
      <c r="AR78" s="8" t="s">
        <v>100</v>
      </c>
      <c r="AS78" s="8">
        <v>266</v>
      </c>
      <c r="AT78" s="9">
        <v>1.5</v>
      </c>
      <c r="AU78" s="125">
        <v>9</v>
      </c>
      <c r="AV78" s="10" t="s">
        <v>183</v>
      </c>
    </row>
    <row r="79" spans="39:48">
      <c r="AM79">
        <f t="shared" si="39"/>
        <v>10</v>
      </c>
      <c r="AN79">
        <f t="shared" si="37"/>
        <v>6</v>
      </c>
      <c r="AO79" s="30">
        <f t="shared" si="38"/>
        <v>1006</v>
      </c>
      <c r="AP79" s="16"/>
      <c r="AQ79" s="8" t="s">
        <v>120</v>
      </c>
      <c r="AR79" s="8" t="s">
        <v>101</v>
      </c>
      <c r="AS79" s="8">
        <v>409</v>
      </c>
      <c r="AT79" s="9">
        <v>1.5</v>
      </c>
      <c r="AU79" s="125">
        <v>18</v>
      </c>
      <c r="AV79" s="10" t="s">
        <v>183</v>
      </c>
    </row>
    <row r="80" spans="39:48">
      <c r="AM80">
        <f t="shared" si="39"/>
        <v>10</v>
      </c>
      <c r="AN80">
        <f t="shared" si="37"/>
        <v>7</v>
      </c>
      <c r="AO80" s="31">
        <f t="shared" si="38"/>
        <v>1007</v>
      </c>
      <c r="AP80" s="17"/>
      <c r="AQ80" s="12" t="s">
        <v>120</v>
      </c>
      <c r="AR80" s="12" t="s">
        <v>102</v>
      </c>
      <c r="AS80" s="12">
        <v>1458</v>
      </c>
      <c r="AT80" s="13">
        <v>0.5</v>
      </c>
      <c r="AU80" s="126">
        <v>30</v>
      </c>
      <c r="AV80" s="14" t="s">
        <v>181</v>
      </c>
    </row>
    <row r="81" spans="39:48">
      <c r="AM81">
        <f t="shared" si="39"/>
        <v>11</v>
      </c>
      <c r="AN81">
        <f t="shared" si="37"/>
        <v>1</v>
      </c>
      <c r="AO81" s="29">
        <f t="shared" si="38"/>
        <v>1101</v>
      </c>
      <c r="AP81" s="15"/>
      <c r="AQ81" s="4" t="s">
        <v>67</v>
      </c>
      <c r="AR81" s="4" t="s">
        <v>68</v>
      </c>
      <c r="AS81" s="4">
        <v>157</v>
      </c>
      <c r="AT81" s="5">
        <v>0.35</v>
      </c>
      <c r="AU81" s="124">
        <v>2</v>
      </c>
      <c r="AV81" s="6" t="s">
        <v>181</v>
      </c>
    </row>
    <row r="82" spans="39:48">
      <c r="AM82">
        <f t="shared" si="39"/>
        <v>11</v>
      </c>
      <c r="AN82">
        <f t="shared" si="37"/>
        <v>2</v>
      </c>
      <c r="AO82" s="30">
        <f t="shared" si="38"/>
        <v>1102</v>
      </c>
      <c r="AP82" s="16"/>
      <c r="AQ82" s="8" t="s">
        <v>67</v>
      </c>
      <c r="AR82" s="8" t="s">
        <v>69</v>
      </c>
      <c r="AS82" s="8">
        <v>314</v>
      </c>
      <c r="AT82" s="9">
        <v>0.75</v>
      </c>
      <c r="AU82" s="125">
        <v>7</v>
      </c>
      <c r="AV82" s="10" t="s">
        <v>183</v>
      </c>
    </row>
    <row r="83" spans="39:48">
      <c r="AM83">
        <f t="shared" si="39"/>
        <v>11</v>
      </c>
      <c r="AN83">
        <f t="shared" si="37"/>
        <v>3</v>
      </c>
      <c r="AO83" s="30">
        <f t="shared" si="38"/>
        <v>1103</v>
      </c>
      <c r="AP83" s="16"/>
      <c r="AQ83" s="8" t="s">
        <v>67</v>
      </c>
      <c r="AR83" s="8" t="s">
        <v>70</v>
      </c>
      <c r="AS83" s="8">
        <v>274</v>
      </c>
      <c r="AT83" s="9">
        <v>0.35</v>
      </c>
      <c r="AU83" s="125">
        <v>11</v>
      </c>
      <c r="AV83" s="10" t="s">
        <v>181</v>
      </c>
    </row>
    <row r="84" spans="39:48">
      <c r="AM84">
        <f t="shared" si="39"/>
        <v>11</v>
      </c>
      <c r="AN84">
        <f t="shared" si="37"/>
        <v>4</v>
      </c>
      <c r="AO84" s="30">
        <f t="shared" si="38"/>
        <v>1104</v>
      </c>
      <c r="AP84" s="16"/>
      <c r="AQ84" s="8" t="s">
        <v>67</v>
      </c>
      <c r="AR84" s="8" t="s">
        <v>165</v>
      </c>
      <c r="AS84" s="8">
        <v>260</v>
      </c>
      <c r="AT84" s="9">
        <v>0.75</v>
      </c>
      <c r="AU84" s="125">
        <v>0</v>
      </c>
      <c r="AV84" s="10" t="s">
        <v>181</v>
      </c>
    </row>
    <row r="85" spans="39:48">
      <c r="AM85">
        <f t="shared" si="39"/>
        <v>11</v>
      </c>
      <c r="AN85">
        <f t="shared" si="37"/>
        <v>5</v>
      </c>
      <c r="AO85" s="30">
        <f t="shared" si="38"/>
        <v>1105</v>
      </c>
      <c r="AP85" s="16"/>
      <c r="AQ85" s="8" t="s">
        <v>67</v>
      </c>
      <c r="AR85" s="8" t="s">
        <v>166</v>
      </c>
      <c r="AS85" s="8">
        <v>352</v>
      </c>
      <c r="AT85" s="9">
        <v>0.5</v>
      </c>
      <c r="AU85" s="125">
        <v>8</v>
      </c>
      <c r="AV85" s="10" t="s">
        <v>183</v>
      </c>
    </row>
    <row r="86" spans="39:48">
      <c r="AM86">
        <f t="shared" si="39"/>
        <v>11</v>
      </c>
      <c r="AN86">
        <f t="shared" si="37"/>
        <v>6</v>
      </c>
      <c r="AO86" s="31">
        <f t="shared" si="38"/>
        <v>1106</v>
      </c>
      <c r="AP86" s="17"/>
      <c r="AQ86" s="12" t="s">
        <v>67</v>
      </c>
      <c r="AR86" s="12" t="s">
        <v>164</v>
      </c>
      <c r="AS86" s="12">
        <v>380</v>
      </c>
      <c r="AT86" s="13">
        <v>0.2</v>
      </c>
      <c r="AU86" s="126">
        <v>9</v>
      </c>
      <c r="AV86" s="14" t="s">
        <v>183</v>
      </c>
    </row>
    <row r="87" spans="39:48">
      <c r="AM87">
        <f t="shared" si="39"/>
        <v>12</v>
      </c>
      <c r="AN87">
        <f t="shared" si="37"/>
        <v>1</v>
      </c>
      <c r="AO87" s="29">
        <f t="shared" si="38"/>
        <v>1201</v>
      </c>
      <c r="AP87" s="15"/>
      <c r="AQ87" s="4" t="s">
        <v>71</v>
      </c>
      <c r="AR87" s="4" t="s">
        <v>72</v>
      </c>
      <c r="AS87" s="4">
        <v>296</v>
      </c>
      <c r="AT87" s="5">
        <v>0.65</v>
      </c>
      <c r="AU87" s="124">
        <v>9</v>
      </c>
      <c r="AV87" s="6" t="s">
        <v>183</v>
      </c>
    </row>
    <row r="88" spans="39:48">
      <c r="AM88">
        <f t="shared" si="39"/>
        <v>12</v>
      </c>
      <c r="AN88">
        <f t="shared" si="37"/>
        <v>2</v>
      </c>
      <c r="AO88" s="30">
        <f t="shared" si="38"/>
        <v>1202</v>
      </c>
      <c r="AP88" s="16"/>
      <c r="AQ88" s="8" t="s">
        <v>71</v>
      </c>
      <c r="AR88" s="8" t="s">
        <v>73</v>
      </c>
      <c r="AS88" s="8">
        <v>288</v>
      </c>
      <c r="AT88" s="9">
        <v>0.75</v>
      </c>
      <c r="AU88" s="125">
        <v>26</v>
      </c>
      <c r="AV88" s="10" t="s">
        <v>183</v>
      </c>
    </row>
    <row r="89" spans="39:48">
      <c r="AM89">
        <f t="shared" si="39"/>
        <v>12</v>
      </c>
      <c r="AN89">
        <f t="shared" si="37"/>
        <v>3</v>
      </c>
      <c r="AO89" s="31">
        <f t="shared" si="38"/>
        <v>1203</v>
      </c>
      <c r="AP89" s="17"/>
      <c r="AQ89" s="12" t="s">
        <v>71</v>
      </c>
      <c r="AR89" s="12" t="s">
        <v>74</v>
      </c>
      <c r="AS89" s="12">
        <v>852</v>
      </c>
      <c r="AT89" s="13">
        <v>0.75</v>
      </c>
      <c r="AU89" s="126">
        <v>21</v>
      </c>
      <c r="AV89" s="14" t="s">
        <v>182</v>
      </c>
    </row>
    <row r="90" spans="39:48">
      <c r="AM90">
        <f t="shared" si="39"/>
        <v>13</v>
      </c>
      <c r="AN90">
        <f t="shared" si="37"/>
        <v>1</v>
      </c>
      <c r="AO90" s="29">
        <f t="shared" si="38"/>
        <v>1301</v>
      </c>
      <c r="AP90" s="15"/>
      <c r="AQ90" s="4" t="s">
        <v>119</v>
      </c>
      <c r="AR90" s="4" t="s">
        <v>103</v>
      </c>
      <c r="AS90" s="4">
        <v>145</v>
      </c>
      <c r="AT90" s="5">
        <v>0.75</v>
      </c>
      <c r="AU90" s="124">
        <v>18</v>
      </c>
      <c r="AV90" s="6" t="s">
        <v>183</v>
      </c>
    </row>
    <row r="91" spans="39:48">
      <c r="AM91">
        <f t="shared" si="39"/>
        <v>13</v>
      </c>
      <c r="AN91">
        <f t="shared" si="37"/>
        <v>2</v>
      </c>
      <c r="AO91" s="30">
        <f t="shared" si="38"/>
        <v>1302</v>
      </c>
      <c r="AP91" s="16"/>
      <c r="AQ91" s="8" t="s">
        <v>119</v>
      </c>
      <c r="AR91" s="8" t="s">
        <v>104</v>
      </c>
      <c r="AS91" s="8">
        <v>180</v>
      </c>
      <c r="AT91" s="9">
        <v>2</v>
      </c>
      <c r="AU91" s="125">
        <v>17</v>
      </c>
      <c r="AV91" s="10" t="s">
        <v>183</v>
      </c>
    </row>
    <row r="92" spans="39:48">
      <c r="AM92">
        <f t="shared" si="39"/>
        <v>13</v>
      </c>
      <c r="AN92">
        <f t="shared" si="37"/>
        <v>3</v>
      </c>
      <c r="AO92" s="30">
        <f t="shared" si="38"/>
        <v>1303</v>
      </c>
      <c r="AP92" s="16"/>
      <c r="AQ92" s="8" t="s">
        <v>119</v>
      </c>
      <c r="AR92" s="8" t="s">
        <v>105</v>
      </c>
      <c r="AS92" s="8">
        <v>196</v>
      </c>
      <c r="AT92" s="9">
        <v>0.75</v>
      </c>
      <c r="AU92" s="125">
        <v>23</v>
      </c>
      <c r="AV92" s="10" t="s">
        <v>183</v>
      </c>
    </row>
    <row r="93" spans="39:48">
      <c r="AM93">
        <f t="shared" si="39"/>
        <v>13</v>
      </c>
      <c r="AN93">
        <f t="shared" si="37"/>
        <v>4</v>
      </c>
      <c r="AO93" s="30">
        <f t="shared" si="38"/>
        <v>1304</v>
      </c>
      <c r="AP93" s="16"/>
      <c r="AQ93" s="8" t="s">
        <v>119</v>
      </c>
      <c r="AR93" s="8" t="s">
        <v>106</v>
      </c>
      <c r="AS93" s="8">
        <v>341</v>
      </c>
      <c r="AT93" s="9">
        <v>0.75</v>
      </c>
      <c r="AU93" s="125">
        <v>26</v>
      </c>
      <c r="AV93" s="10" t="s">
        <v>183</v>
      </c>
    </row>
    <row r="94" spans="39:48">
      <c r="AM94">
        <f t="shared" si="39"/>
        <v>13</v>
      </c>
      <c r="AN94">
        <f t="shared" si="37"/>
        <v>5</v>
      </c>
      <c r="AO94" s="30">
        <f t="shared" si="38"/>
        <v>1305</v>
      </c>
      <c r="AP94" s="16"/>
      <c r="AQ94" s="8" t="s">
        <v>119</v>
      </c>
      <c r="AR94" s="8" t="s">
        <v>107</v>
      </c>
      <c r="AS94" s="8">
        <v>563</v>
      </c>
      <c r="AT94" s="9">
        <v>0.75</v>
      </c>
      <c r="AU94" s="125">
        <v>33</v>
      </c>
      <c r="AV94" s="10" t="s">
        <v>183</v>
      </c>
    </row>
    <row r="95" spans="39:48">
      <c r="AM95">
        <f t="shared" si="39"/>
        <v>13</v>
      </c>
      <c r="AN95">
        <f t="shared" si="37"/>
        <v>6</v>
      </c>
      <c r="AO95" s="30">
        <f t="shared" si="38"/>
        <v>1306</v>
      </c>
      <c r="AP95" s="16"/>
      <c r="AQ95" s="8" t="s">
        <v>119</v>
      </c>
      <c r="AR95" s="8" t="s">
        <v>168</v>
      </c>
      <c r="AS95" s="8">
        <v>1139</v>
      </c>
      <c r="AT95" s="9">
        <v>1.1000000000000001</v>
      </c>
      <c r="AU95" s="125">
        <v>44</v>
      </c>
      <c r="AV95" s="10" t="s">
        <v>183</v>
      </c>
    </row>
    <row r="96" spans="39:48">
      <c r="AM96">
        <f t="shared" si="39"/>
        <v>13</v>
      </c>
      <c r="AN96">
        <f t="shared" si="37"/>
        <v>7</v>
      </c>
      <c r="AO96" s="31">
        <f t="shared" si="38"/>
        <v>1307</v>
      </c>
      <c r="AP96" s="17"/>
      <c r="AQ96" s="12" t="s">
        <v>119</v>
      </c>
      <c r="AR96" s="12" t="s">
        <v>167</v>
      </c>
      <c r="AS96" s="12">
        <v>795</v>
      </c>
      <c r="AT96" s="13">
        <v>0.5</v>
      </c>
      <c r="AU96" s="126">
        <v>19</v>
      </c>
      <c r="AV96" s="14" t="s">
        <v>183</v>
      </c>
    </row>
    <row r="97" spans="39:48">
      <c r="AM97">
        <f t="shared" si="39"/>
        <v>14</v>
      </c>
      <c r="AN97">
        <f t="shared" si="37"/>
        <v>1</v>
      </c>
      <c r="AO97" s="29">
        <f t="shared" si="38"/>
        <v>1401</v>
      </c>
      <c r="AP97" s="18"/>
      <c r="AQ97" s="4" t="s">
        <v>122</v>
      </c>
      <c r="AR97" s="4" t="s">
        <v>108</v>
      </c>
      <c r="AS97" s="4">
        <v>185</v>
      </c>
      <c r="AT97" s="5">
        <v>1</v>
      </c>
      <c r="AU97" s="124">
        <v>26</v>
      </c>
      <c r="AV97" s="6" t="s">
        <v>183</v>
      </c>
    </row>
    <row r="98" spans="39:48">
      <c r="AM98">
        <f t="shared" si="39"/>
        <v>14</v>
      </c>
      <c r="AN98">
        <f t="shared" ref="AN98:AN109" si="40">IF(AQ98=AQ97,AN97+1,1)</f>
        <v>2</v>
      </c>
      <c r="AO98" s="30">
        <f t="shared" ref="AO98:AO109" si="41">AM98*100+AN98</f>
        <v>1402</v>
      </c>
      <c r="AP98" s="19"/>
      <c r="AQ98" s="8" t="s">
        <v>122</v>
      </c>
      <c r="AR98" s="8" t="s">
        <v>170</v>
      </c>
      <c r="AS98" s="8">
        <v>562</v>
      </c>
      <c r="AT98" s="9">
        <v>0.75</v>
      </c>
      <c r="AU98" s="125">
        <v>10</v>
      </c>
      <c r="AV98" s="10" t="s">
        <v>183</v>
      </c>
    </row>
    <row r="99" spans="39:48">
      <c r="AM99">
        <f t="shared" ref="AM99:AM109" si="42">IF(AQ99=AQ98,AM98,AM98+1)</f>
        <v>14</v>
      </c>
      <c r="AN99">
        <f t="shared" si="40"/>
        <v>3</v>
      </c>
      <c r="AO99" s="30">
        <f t="shared" si="41"/>
        <v>1403</v>
      </c>
      <c r="AP99" s="19"/>
      <c r="AQ99" s="8" t="s">
        <v>122</v>
      </c>
      <c r="AR99" s="8" t="s">
        <v>169</v>
      </c>
      <c r="AS99" s="8">
        <v>362</v>
      </c>
      <c r="AT99" s="9">
        <v>0.1</v>
      </c>
      <c r="AU99" s="125">
        <v>36</v>
      </c>
      <c r="AV99" s="10" t="s">
        <v>183</v>
      </c>
    </row>
    <row r="100" spans="39:48">
      <c r="AM100">
        <f t="shared" si="42"/>
        <v>14</v>
      </c>
      <c r="AN100">
        <f t="shared" si="40"/>
        <v>4</v>
      </c>
      <c r="AO100" s="31">
        <f t="shared" si="41"/>
        <v>1404</v>
      </c>
      <c r="AP100" s="20"/>
      <c r="AQ100" s="12" t="s">
        <v>122</v>
      </c>
      <c r="AR100" s="12" t="s">
        <v>109</v>
      </c>
      <c r="AS100" s="12">
        <v>1160</v>
      </c>
      <c r="AT100" s="13">
        <v>0.01</v>
      </c>
      <c r="AU100" s="126">
        <v>17</v>
      </c>
      <c r="AV100" s="14" t="s">
        <v>183</v>
      </c>
    </row>
    <row r="101" spans="39:48">
      <c r="AM101">
        <f t="shared" si="42"/>
        <v>15</v>
      </c>
      <c r="AN101">
        <f t="shared" si="40"/>
        <v>1</v>
      </c>
      <c r="AO101" s="29">
        <f t="shared" si="41"/>
        <v>1501</v>
      </c>
      <c r="AP101" s="18"/>
      <c r="AQ101" s="4" t="s">
        <v>123</v>
      </c>
      <c r="AR101" s="4" t="s">
        <v>110</v>
      </c>
      <c r="AS101" s="4">
        <v>103</v>
      </c>
      <c r="AT101" s="5">
        <v>0.75</v>
      </c>
      <c r="AU101" s="124">
        <v>12</v>
      </c>
      <c r="AV101" s="6" t="s">
        <v>183</v>
      </c>
    </row>
    <row r="102" spans="39:48">
      <c r="AM102">
        <f t="shared" si="42"/>
        <v>15</v>
      </c>
      <c r="AN102">
        <f t="shared" si="40"/>
        <v>2</v>
      </c>
      <c r="AO102" s="30">
        <f t="shared" si="41"/>
        <v>1502</v>
      </c>
      <c r="AP102" s="19"/>
      <c r="AQ102" s="8" t="s">
        <v>123</v>
      </c>
      <c r="AR102" s="8" t="s">
        <v>111</v>
      </c>
      <c r="AS102" s="8">
        <v>139</v>
      </c>
      <c r="AT102" s="9">
        <v>0.75</v>
      </c>
      <c r="AU102" s="125">
        <v>18</v>
      </c>
      <c r="AV102" s="10" t="s">
        <v>183</v>
      </c>
    </row>
    <row r="103" spans="39:48">
      <c r="AM103">
        <f t="shared" si="42"/>
        <v>15</v>
      </c>
      <c r="AN103">
        <f t="shared" si="40"/>
        <v>3</v>
      </c>
      <c r="AO103" s="30">
        <f t="shared" si="41"/>
        <v>1503</v>
      </c>
      <c r="AP103" s="19"/>
      <c r="AQ103" s="8" t="s">
        <v>123</v>
      </c>
      <c r="AR103" s="8" t="s">
        <v>112</v>
      </c>
      <c r="AS103" s="8">
        <v>156</v>
      </c>
      <c r="AT103" s="9">
        <v>0.75</v>
      </c>
      <c r="AU103" s="125">
        <v>17</v>
      </c>
      <c r="AV103" s="10" t="s">
        <v>183</v>
      </c>
    </row>
    <row r="104" spans="39:48">
      <c r="AM104">
        <f t="shared" si="42"/>
        <v>15</v>
      </c>
      <c r="AN104">
        <f t="shared" si="40"/>
        <v>4</v>
      </c>
      <c r="AO104" s="30">
        <f t="shared" si="41"/>
        <v>1504</v>
      </c>
      <c r="AP104" s="19"/>
      <c r="AQ104" s="8" t="s">
        <v>123</v>
      </c>
      <c r="AR104" s="8" t="s">
        <v>113</v>
      </c>
      <c r="AS104" s="8">
        <v>268</v>
      </c>
      <c r="AT104" s="9">
        <v>2</v>
      </c>
      <c r="AU104" s="125">
        <v>13</v>
      </c>
      <c r="AV104" s="10" t="s">
        <v>183</v>
      </c>
    </row>
    <row r="105" spans="39:48">
      <c r="AM105">
        <f t="shared" si="42"/>
        <v>15</v>
      </c>
      <c r="AN105">
        <f t="shared" si="40"/>
        <v>5</v>
      </c>
      <c r="AO105" s="31">
        <f t="shared" si="41"/>
        <v>1505</v>
      </c>
      <c r="AP105" s="20"/>
      <c r="AQ105" s="12" t="s">
        <v>123</v>
      </c>
      <c r="AR105" s="12" t="s">
        <v>114</v>
      </c>
      <c r="AS105" s="12">
        <v>556</v>
      </c>
      <c r="AT105" s="13">
        <v>1</v>
      </c>
      <c r="AU105" s="126">
        <v>14</v>
      </c>
      <c r="AV105" s="14" t="s">
        <v>183</v>
      </c>
    </row>
    <row r="106" spans="39:48">
      <c r="AM106">
        <f t="shared" si="42"/>
        <v>16</v>
      </c>
      <c r="AN106">
        <f t="shared" si="40"/>
        <v>1</v>
      </c>
      <c r="AO106" s="29">
        <f t="shared" si="41"/>
        <v>1601</v>
      </c>
      <c r="AP106" s="18"/>
      <c r="AQ106" s="4" t="s">
        <v>124</v>
      </c>
      <c r="AR106" s="4" t="s">
        <v>115</v>
      </c>
      <c r="AS106" s="4">
        <v>88</v>
      </c>
      <c r="AT106" s="5">
        <v>0.75</v>
      </c>
      <c r="AU106" s="124">
        <v>0</v>
      </c>
      <c r="AV106" s="6" t="s">
        <v>183</v>
      </c>
    </row>
    <row r="107" spans="39:48">
      <c r="AM107">
        <f t="shared" si="42"/>
        <v>16</v>
      </c>
      <c r="AN107">
        <f t="shared" si="40"/>
        <v>2</v>
      </c>
      <c r="AO107" s="30">
        <f t="shared" si="41"/>
        <v>1602</v>
      </c>
      <c r="AP107" s="19"/>
      <c r="AQ107" s="8" t="s">
        <v>124</v>
      </c>
      <c r="AR107" s="8" t="s">
        <v>116</v>
      </c>
      <c r="AS107" s="8">
        <v>213</v>
      </c>
      <c r="AT107" s="9">
        <v>1.5</v>
      </c>
      <c r="AU107" s="125">
        <v>6</v>
      </c>
      <c r="AV107" s="10" t="s">
        <v>183</v>
      </c>
    </row>
    <row r="108" spans="39:48">
      <c r="AM108">
        <f t="shared" si="42"/>
        <v>16</v>
      </c>
      <c r="AN108">
        <f t="shared" si="40"/>
        <v>3</v>
      </c>
      <c r="AO108" s="30">
        <f t="shared" si="41"/>
        <v>1603</v>
      </c>
      <c r="AP108" s="19"/>
      <c r="AQ108" s="8" t="s">
        <v>124</v>
      </c>
      <c r="AR108" s="8" t="s">
        <v>117</v>
      </c>
      <c r="AS108" s="8">
        <v>871</v>
      </c>
      <c r="AT108" s="9">
        <v>1.5</v>
      </c>
      <c r="AU108" s="125">
        <v>17</v>
      </c>
      <c r="AV108" s="10" t="s">
        <v>183</v>
      </c>
    </row>
    <row r="109" spans="39:48">
      <c r="AM109">
        <f t="shared" si="42"/>
        <v>16</v>
      </c>
      <c r="AN109">
        <f t="shared" si="40"/>
        <v>4</v>
      </c>
      <c r="AO109" s="31">
        <f t="shared" si="41"/>
        <v>1604</v>
      </c>
      <c r="AP109" s="20"/>
      <c r="AQ109" s="12" t="s">
        <v>124</v>
      </c>
      <c r="AR109" s="12" t="s">
        <v>118</v>
      </c>
      <c r="AS109" s="12">
        <v>1570</v>
      </c>
      <c r="AT109" s="13">
        <v>0.5</v>
      </c>
      <c r="AU109" s="126">
        <v>54</v>
      </c>
      <c r="AV109" s="14" t="s">
        <v>183</v>
      </c>
    </row>
  </sheetData>
  <mergeCells count="9">
    <mergeCell ref="B10:D10"/>
    <mergeCell ref="G18:H18"/>
    <mergeCell ref="G19:H19"/>
    <mergeCell ref="G4:H6"/>
    <mergeCell ref="G7:H9"/>
    <mergeCell ref="G10:H12"/>
    <mergeCell ref="G13:H14"/>
    <mergeCell ref="G15:H16"/>
    <mergeCell ref="G17:H17"/>
  </mergeCells>
  <phoneticPr fontId="2"/>
  <conditionalFormatting sqref="I27:L36">
    <cfRule type="expression" dxfId="5" priority="2">
      <formula>$F27&gt;I27</formula>
    </cfRule>
    <cfRule type="expression" dxfId="4" priority="1">
      <formula>$F27&lt;=I27</formula>
    </cfRule>
  </conditionalFormatting>
  <pageMargins left="0.19685039370078741" right="0.19685039370078741" top="0.35433070866141736" bottom="0.15748031496062992" header="0.31496062992125984" footer="0.11811023622047245"/>
  <pageSetup paperSize="9" orientation="landscape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CCFF"/>
  </sheetPr>
  <dimension ref="A1:AK44"/>
  <sheetViews>
    <sheetView showGridLines="0" zoomScaleNormal="100" workbookViewId="0"/>
  </sheetViews>
  <sheetFormatPr defaultRowHeight="12" outlineLevelCol="1"/>
  <cols>
    <col min="1" max="1" width="3.7109375" customWidth="1"/>
    <col min="2" max="4" width="2.85546875" customWidth="1"/>
    <col min="5" max="6" width="7.7109375" customWidth="1"/>
    <col min="7" max="12" width="6.7109375" customWidth="1"/>
    <col min="13" max="21" width="7.140625" customWidth="1"/>
    <col min="22" max="24" width="2.7109375" customWidth="1"/>
    <col min="25" max="25" width="7.140625" customWidth="1"/>
    <col min="26" max="26" width="3.7109375" customWidth="1"/>
    <col min="27" max="27" width="4.7109375" customWidth="1"/>
    <col min="28" max="28" width="5.42578125" customWidth="1"/>
    <col min="29" max="30" width="6.7109375" hidden="1" customWidth="1" outlineLevel="1"/>
    <col min="31" max="31" width="5.7109375" hidden="1" customWidth="1" outlineLevel="1"/>
    <col min="32" max="32" width="6.7109375" customWidth="1" collapsed="1"/>
    <col min="33" max="33" width="16.7109375" customWidth="1"/>
    <col min="34" max="36" width="6.7109375" customWidth="1"/>
    <col min="37" max="37" width="13.7109375" customWidth="1"/>
  </cols>
  <sheetData>
    <row r="1" spans="2:37" ht="9.75" customHeight="1">
      <c r="AB1" s="129" t="s">
        <v>214</v>
      </c>
      <c r="AC1" s="127"/>
      <c r="AD1" s="127"/>
      <c r="AE1" s="127"/>
      <c r="AF1" s="127"/>
      <c r="AG1" s="127"/>
      <c r="AH1" s="127"/>
      <c r="AI1" s="127"/>
      <c r="AJ1" s="127"/>
      <c r="AK1" s="128"/>
    </row>
    <row r="2" spans="2:37">
      <c r="B2" s="21" t="s">
        <v>173</v>
      </c>
      <c r="C2" s="22"/>
      <c r="D2" s="22"/>
      <c r="E2" s="23"/>
      <c r="G2" s="21" t="s">
        <v>140</v>
      </c>
      <c r="H2" s="22"/>
      <c r="I2" s="22"/>
      <c r="J2" s="22"/>
      <c r="K2" s="23"/>
      <c r="L2" s="107"/>
      <c r="M2" s="24"/>
      <c r="N2" s="4"/>
      <c r="O2" s="4"/>
      <c r="P2" s="92"/>
      <c r="Q2" s="93"/>
      <c r="R2" s="74" t="s">
        <v>160</v>
      </c>
      <c r="S2" s="75"/>
      <c r="T2" s="75"/>
      <c r="U2" s="76"/>
      <c r="AA2" s="53">
        <f>COUNTIF($AC$3:$AC$42,TRUE)</f>
        <v>6</v>
      </c>
      <c r="AB2" s="28"/>
      <c r="AC2" s="28"/>
      <c r="AD2" s="28"/>
      <c r="AE2" s="28"/>
      <c r="AF2" s="32" t="s">
        <v>7</v>
      </c>
      <c r="AG2" s="32" t="s">
        <v>125</v>
      </c>
      <c r="AH2" s="32" t="s">
        <v>10</v>
      </c>
      <c r="AI2" s="32" t="s">
        <v>16</v>
      </c>
      <c r="AJ2" s="32" t="s">
        <v>8</v>
      </c>
      <c r="AK2" s="32" t="s">
        <v>201</v>
      </c>
    </row>
    <row r="3" spans="2:37" ht="12" customHeight="1">
      <c r="B3" s="21" t="s">
        <v>5</v>
      </c>
      <c r="C3" s="22"/>
      <c r="D3" s="23"/>
      <c r="E3" s="57">
        <v>150</v>
      </c>
      <c r="G3" s="59" t="s">
        <v>141</v>
      </c>
      <c r="H3" s="101"/>
      <c r="I3" s="59" t="s">
        <v>147</v>
      </c>
      <c r="J3" s="60"/>
      <c r="K3" s="32" t="s">
        <v>150</v>
      </c>
      <c r="M3" s="25"/>
      <c r="N3" s="8"/>
      <c r="O3" s="113"/>
      <c r="P3" s="114"/>
      <c r="Q3" s="113"/>
      <c r="R3" s="115" t="s">
        <v>161</v>
      </c>
      <c r="S3" s="66" t="s">
        <v>162</v>
      </c>
      <c r="T3" s="65" t="s">
        <v>163</v>
      </c>
      <c r="U3" s="10"/>
      <c r="AB3" s="33">
        <v>1</v>
      </c>
      <c r="AC3" s="33" t="b">
        <v>0</v>
      </c>
      <c r="AD3" s="33">
        <f>IF(AC3,AB3,999)</f>
        <v>999</v>
      </c>
      <c r="AE3" s="33" t="e">
        <f>IF(AC3,COUNTIF(AC$3:AC3,TRUE),#N/A)</f>
        <v>#N/A</v>
      </c>
      <c r="AF3" s="116" t="s">
        <v>9</v>
      </c>
      <c r="AG3" s="116" t="s">
        <v>0</v>
      </c>
      <c r="AH3" s="116">
        <v>75</v>
      </c>
      <c r="AI3" s="117">
        <v>0.75</v>
      </c>
      <c r="AJ3" s="116">
        <v>6</v>
      </c>
      <c r="AK3" s="116" t="s">
        <v>191</v>
      </c>
    </row>
    <row r="4" spans="2:37" ht="12" customHeight="1">
      <c r="B4" s="21" t="s">
        <v>188</v>
      </c>
      <c r="C4" s="22"/>
      <c r="D4" s="23"/>
      <c r="E4" s="58">
        <v>0.4</v>
      </c>
      <c r="G4" s="29" t="s">
        <v>142</v>
      </c>
      <c r="H4" s="135">
        <v>0.2</v>
      </c>
      <c r="I4" s="28" t="s">
        <v>9</v>
      </c>
      <c r="J4" s="56">
        <v>0.2</v>
      </c>
      <c r="K4" s="55">
        <f>SUM(J4,H4)</f>
        <v>0.4</v>
      </c>
      <c r="L4" s="107"/>
      <c r="M4" s="109"/>
      <c r="N4" s="69"/>
      <c r="O4" s="97"/>
      <c r="P4" s="72" t="s">
        <v>10</v>
      </c>
      <c r="Q4" s="112" t="s">
        <v>16</v>
      </c>
      <c r="R4" s="71"/>
      <c r="S4" s="71"/>
      <c r="T4" s="110" t="s">
        <v>197</v>
      </c>
      <c r="U4" s="111" t="s">
        <v>198</v>
      </c>
      <c r="AB4" s="35">
        <v>2</v>
      </c>
      <c r="AC4" s="35" t="b">
        <v>0</v>
      </c>
      <c r="AD4" s="35">
        <f t="shared" ref="AD4:AD42" si="0">IF(AC4,AB4,999)</f>
        <v>999</v>
      </c>
      <c r="AE4" s="35" t="e">
        <f>IF(AC4,COUNTIF(AC$3:AC4,TRUE),#N/A)</f>
        <v>#N/A</v>
      </c>
      <c r="AF4" s="118" t="s">
        <v>9</v>
      </c>
      <c r="AG4" s="118" t="s">
        <v>202</v>
      </c>
      <c r="AH4" s="118">
        <v>124</v>
      </c>
      <c r="AI4" s="119">
        <v>1</v>
      </c>
      <c r="AJ4" s="118">
        <v>8</v>
      </c>
      <c r="AK4" s="118" t="s">
        <v>191</v>
      </c>
    </row>
    <row r="5" spans="2:37" ht="12" customHeight="1">
      <c r="B5" s="21" t="s">
        <v>174</v>
      </c>
      <c r="C5" s="22"/>
      <c r="D5" s="23"/>
      <c r="E5" s="58">
        <v>0.75</v>
      </c>
      <c r="G5" s="30"/>
      <c r="H5" s="137"/>
      <c r="I5" s="28" t="s">
        <v>46</v>
      </c>
      <c r="J5" s="56">
        <v>0.2</v>
      </c>
      <c r="K5" s="55">
        <f>SUM(J5,H4)</f>
        <v>0.4</v>
      </c>
      <c r="L5" s="107"/>
      <c r="M5" s="25" t="str">
        <f t="shared" ref="M5:M11" si="1">IF(B27="-","-",F27)</f>
        <v>トロール</v>
      </c>
      <c r="N5" s="8"/>
      <c r="O5" s="108" t="str">
        <f t="shared" ref="O5:O11" si="2">IF(B27="-","-",G27)</f>
        <v>妖精</v>
      </c>
      <c r="P5" s="65">
        <f t="shared" ref="P5:P11" si="3">IF(B27="-","-",L27)</f>
        <v>368</v>
      </c>
      <c r="Q5" s="98">
        <f t="shared" ref="Q5:Q11" si="4">IF(B27="-","-",H27)</f>
        <v>1</v>
      </c>
      <c r="R5" s="67">
        <f>IF($M5="-","-",M27)</f>
        <v>480</v>
      </c>
      <c r="S5" s="67">
        <f>IF($M5="-","-",N27)</f>
        <v>274</v>
      </c>
      <c r="T5" s="65">
        <f>IF($M5="-","-",O27)</f>
        <v>196</v>
      </c>
      <c r="U5" s="10">
        <f>IF($M5="-","-",P27)</f>
        <v>158</v>
      </c>
      <c r="AB5" s="35">
        <v>3</v>
      </c>
      <c r="AC5" s="35" t="b">
        <v>0</v>
      </c>
      <c r="AD5" s="35">
        <f t="shared" si="0"/>
        <v>999</v>
      </c>
      <c r="AE5" s="35" t="e">
        <f>IF(AC5,COUNTIF(AC$3:AC5,TRUE),#N/A)</f>
        <v>#N/A</v>
      </c>
      <c r="AF5" s="118" t="s">
        <v>9</v>
      </c>
      <c r="AG5" s="118" t="s">
        <v>203</v>
      </c>
      <c r="AH5" s="118">
        <v>154</v>
      </c>
      <c r="AI5" s="119">
        <v>0.75</v>
      </c>
      <c r="AJ5" s="118">
        <v>9</v>
      </c>
      <c r="AK5" s="118" t="s">
        <v>191</v>
      </c>
    </row>
    <row r="6" spans="2:37" ht="12" customHeight="1">
      <c r="B6" s="21" t="s">
        <v>175</v>
      </c>
      <c r="C6" s="22"/>
      <c r="D6" s="23"/>
      <c r="E6" s="58">
        <v>0.4</v>
      </c>
      <c r="G6" s="31"/>
      <c r="H6" s="139"/>
      <c r="I6" s="28" t="s">
        <v>123</v>
      </c>
      <c r="J6" s="56">
        <v>0.2</v>
      </c>
      <c r="K6" s="55">
        <f>SUM(J6,H4)</f>
        <v>0.4</v>
      </c>
      <c r="L6" s="107"/>
      <c r="M6" s="25" t="str">
        <f t="shared" si="1"/>
        <v>ブロブ</v>
      </c>
      <c r="N6" s="8"/>
      <c r="O6" s="8" t="str">
        <f t="shared" si="2"/>
        <v>外道</v>
      </c>
      <c r="P6" s="65">
        <f t="shared" si="3"/>
        <v>125</v>
      </c>
      <c r="Q6" s="98">
        <f t="shared" si="4"/>
        <v>0.25</v>
      </c>
      <c r="R6" s="67">
        <f t="shared" ref="R6:U6" si="5">IF($M6="-","-",M28)</f>
        <v>120</v>
      </c>
      <c r="S6" s="67">
        <f t="shared" si="5"/>
        <v>68</v>
      </c>
      <c r="T6" s="65">
        <f t="shared" si="5"/>
        <v>52</v>
      </c>
      <c r="U6" s="10">
        <f t="shared" si="5"/>
        <v>42</v>
      </c>
      <c r="AB6" s="35">
        <v>4</v>
      </c>
      <c r="AC6" s="35" t="b">
        <v>0</v>
      </c>
      <c r="AD6" s="35">
        <f t="shared" si="0"/>
        <v>999</v>
      </c>
      <c r="AE6" s="35" t="e">
        <f>IF(AC6,COUNTIF(AC$3:AC6,TRUE),#N/A)</f>
        <v>#N/A</v>
      </c>
      <c r="AF6" s="118" t="s">
        <v>9</v>
      </c>
      <c r="AG6" s="118" t="s">
        <v>204</v>
      </c>
      <c r="AH6" s="118">
        <v>149</v>
      </c>
      <c r="AI6" s="119">
        <v>0.85</v>
      </c>
      <c r="AJ6" s="118">
        <v>12</v>
      </c>
      <c r="AK6" s="118" t="s">
        <v>191</v>
      </c>
    </row>
    <row r="7" spans="2:37" ht="12" customHeight="1">
      <c r="G7" s="29" t="s">
        <v>146</v>
      </c>
      <c r="H7" s="135">
        <v>0.2</v>
      </c>
      <c r="I7" s="28" t="s">
        <v>38</v>
      </c>
      <c r="J7" s="56">
        <v>0.2</v>
      </c>
      <c r="K7" s="55">
        <f>SUM(J7,H7)</f>
        <v>0.4</v>
      </c>
      <c r="L7" s="107"/>
      <c r="M7" s="25" t="str">
        <f t="shared" si="1"/>
        <v>ブラックウーズ</v>
      </c>
      <c r="N7" s="8"/>
      <c r="O7" s="8" t="str">
        <f t="shared" si="2"/>
        <v>外道</v>
      </c>
      <c r="P7" s="65">
        <f t="shared" si="3"/>
        <v>182</v>
      </c>
      <c r="Q7" s="98">
        <f t="shared" si="4"/>
        <v>0.25</v>
      </c>
      <c r="R7" s="67">
        <f t="shared" ref="R7:U7" si="6">IF($M7="-","-",M29)</f>
        <v>120</v>
      </c>
      <c r="S7" s="67">
        <f t="shared" si="6"/>
        <v>68</v>
      </c>
      <c r="T7" s="65">
        <f t="shared" si="6"/>
        <v>52</v>
      </c>
      <c r="U7" s="10">
        <f t="shared" si="6"/>
        <v>42</v>
      </c>
      <c r="AB7" s="35">
        <v>5</v>
      </c>
      <c r="AC7" s="35" t="b">
        <v>0</v>
      </c>
      <c r="AD7" s="35">
        <f t="shared" si="0"/>
        <v>999</v>
      </c>
      <c r="AE7" s="35" t="e">
        <f>IF(AC7,COUNTIF(AC$3:AC7,TRUE),#N/A)</f>
        <v>#N/A</v>
      </c>
      <c r="AF7" s="118" t="s">
        <v>9</v>
      </c>
      <c r="AG7" s="118" t="s">
        <v>11</v>
      </c>
      <c r="AH7" s="118">
        <v>215</v>
      </c>
      <c r="AI7" s="119">
        <v>0.75</v>
      </c>
      <c r="AJ7" s="118">
        <v>4</v>
      </c>
      <c r="AK7" s="118" t="s">
        <v>191</v>
      </c>
    </row>
    <row r="8" spans="2:37" ht="12" customHeight="1">
      <c r="G8" s="30"/>
      <c r="H8" s="137"/>
      <c r="I8" s="28" t="s">
        <v>30</v>
      </c>
      <c r="J8" s="56">
        <v>0.2</v>
      </c>
      <c r="K8" s="55">
        <f>SUM(J8,H7)</f>
        <v>0.4</v>
      </c>
      <c r="L8" s="107"/>
      <c r="M8" s="25" t="str">
        <f t="shared" si="1"/>
        <v>スペクター</v>
      </c>
      <c r="N8" s="8"/>
      <c r="O8" s="8" t="str">
        <f t="shared" si="2"/>
        <v>外道</v>
      </c>
      <c r="P8" s="65">
        <f t="shared" si="3"/>
        <v>198</v>
      </c>
      <c r="Q8" s="98">
        <f t="shared" si="4"/>
        <v>0.35</v>
      </c>
      <c r="R8" s="67">
        <f t="shared" ref="R8:U8" si="7">IF($M8="-","-",M30)</f>
        <v>168</v>
      </c>
      <c r="S8" s="67">
        <f t="shared" si="7"/>
        <v>96</v>
      </c>
      <c r="T8" s="65">
        <f t="shared" si="7"/>
        <v>64</v>
      </c>
      <c r="U8" s="10">
        <f t="shared" si="7"/>
        <v>52</v>
      </c>
      <c r="AB8" s="35">
        <v>6</v>
      </c>
      <c r="AC8" s="35" t="b">
        <v>0</v>
      </c>
      <c r="AD8" s="35">
        <f t="shared" si="0"/>
        <v>999</v>
      </c>
      <c r="AE8" s="35" t="e">
        <f>IF(AC8,COUNTIF(AC$3:AC8,TRUE),#N/A)</f>
        <v>#N/A</v>
      </c>
      <c r="AF8" s="118" t="s">
        <v>9</v>
      </c>
      <c r="AG8" s="118" t="s">
        <v>12</v>
      </c>
      <c r="AH8" s="118">
        <v>194</v>
      </c>
      <c r="AI8" s="119">
        <v>0.75</v>
      </c>
      <c r="AJ8" s="118">
        <v>7</v>
      </c>
      <c r="AK8" s="118" t="s">
        <v>191</v>
      </c>
    </row>
    <row r="9" spans="2:37" ht="12" customHeight="1">
      <c r="B9" s="21" t="s">
        <v>212</v>
      </c>
      <c r="C9" s="22"/>
      <c r="D9" s="22"/>
      <c r="E9" s="23"/>
      <c r="G9" s="31"/>
      <c r="H9" s="139"/>
      <c r="I9" s="28" t="s">
        <v>61</v>
      </c>
      <c r="J9" s="56">
        <v>0.2</v>
      </c>
      <c r="K9" s="55">
        <f>SUM(J9,H7)</f>
        <v>0.4</v>
      </c>
      <c r="L9" s="107"/>
      <c r="M9" s="25" t="str">
        <f t="shared" si="1"/>
        <v>ヴァーチャー</v>
      </c>
      <c r="N9" s="8"/>
      <c r="O9" s="8" t="str">
        <f t="shared" si="2"/>
        <v>天使</v>
      </c>
      <c r="P9" s="65">
        <f t="shared" si="3"/>
        <v>341</v>
      </c>
      <c r="Q9" s="98">
        <f t="shared" si="4"/>
        <v>0.75</v>
      </c>
      <c r="R9" s="67">
        <f t="shared" ref="R9:U9" si="8">IF($M9="-","-",M31)</f>
        <v>360</v>
      </c>
      <c r="S9" s="67">
        <f t="shared" si="8"/>
        <v>205</v>
      </c>
      <c r="T9" s="65">
        <f t="shared" si="8"/>
        <v>111</v>
      </c>
      <c r="U9" s="10">
        <f t="shared" si="8"/>
        <v>90</v>
      </c>
      <c r="AB9" s="35">
        <v>7</v>
      </c>
      <c r="AC9" s="35" t="b">
        <v>0</v>
      </c>
      <c r="AD9" s="35">
        <f t="shared" si="0"/>
        <v>999</v>
      </c>
      <c r="AE9" s="35" t="e">
        <f>IF(AC9,COUNTIF(AC$3:AC9,TRUE),#N/A)</f>
        <v>#N/A</v>
      </c>
      <c r="AF9" s="118" t="s">
        <v>9</v>
      </c>
      <c r="AG9" s="118" t="s">
        <v>13</v>
      </c>
      <c r="AH9" s="118">
        <v>285</v>
      </c>
      <c r="AI9" s="119">
        <v>0.75</v>
      </c>
      <c r="AJ9" s="118">
        <v>11</v>
      </c>
      <c r="AK9" s="118" t="s">
        <v>191</v>
      </c>
    </row>
    <row r="10" spans="2:37" ht="12" customHeight="1">
      <c r="B10" s="130">
        <v>1</v>
      </c>
      <c r="C10" s="131"/>
      <c r="D10" s="131"/>
      <c r="E10" s="132"/>
      <c r="G10" s="29" t="s">
        <v>151</v>
      </c>
      <c r="H10" s="135">
        <v>0.2</v>
      </c>
      <c r="I10" s="28" t="s">
        <v>17</v>
      </c>
      <c r="J10" s="56">
        <v>0.2</v>
      </c>
      <c r="K10" s="55">
        <f>SUM(J10,H10)</f>
        <v>0.4</v>
      </c>
      <c r="L10" s="107"/>
      <c r="M10" s="25" t="str">
        <f t="shared" si="1"/>
        <v>ドミニオン</v>
      </c>
      <c r="N10" s="8"/>
      <c r="O10" s="8" t="str">
        <f t="shared" si="2"/>
        <v>天使</v>
      </c>
      <c r="P10" s="65">
        <f t="shared" si="3"/>
        <v>563</v>
      </c>
      <c r="Q10" s="98">
        <f t="shared" si="4"/>
        <v>0.75</v>
      </c>
      <c r="R10" s="67">
        <f t="shared" ref="R10:U10" si="9">IF($M10="-","-",M32)</f>
        <v>360</v>
      </c>
      <c r="S10" s="67">
        <f t="shared" si="9"/>
        <v>205</v>
      </c>
      <c r="T10" s="65">
        <f t="shared" si="9"/>
        <v>96</v>
      </c>
      <c r="U10" s="10">
        <f t="shared" si="9"/>
        <v>77</v>
      </c>
      <c r="AB10" s="35">
        <v>8</v>
      </c>
      <c r="AC10" s="35" t="b">
        <v>1</v>
      </c>
      <c r="AD10" s="35">
        <f t="shared" si="0"/>
        <v>8</v>
      </c>
      <c r="AE10" s="35">
        <f>IF(AC10,COUNTIF(AC$3:AC10,TRUE),#N/A)</f>
        <v>1</v>
      </c>
      <c r="AF10" s="118" t="s">
        <v>9</v>
      </c>
      <c r="AG10" s="118" t="s">
        <v>14</v>
      </c>
      <c r="AH10" s="118">
        <v>368</v>
      </c>
      <c r="AI10" s="119">
        <v>1</v>
      </c>
      <c r="AJ10" s="118">
        <v>10</v>
      </c>
      <c r="AK10" s="118" t="s">
        <v>191</v>
      </c>
    </row>
    <row r="11" spans="2:37" ht="12" customHeight="1">
      <c r="G11" s="30"/>
      <c r="H11" s="137"/>
      <c r="I11" s="28" t="s">
        <v>75</v>
      </c>
      <c r="J11" s="56">
        <v>0.2</v>
      </c>
      <c r="K11" s="55">
        <f>SUM(J11,H10)</f>
        <v>0.4</v>
      </c>
      <c r="L11" s="107"/>
      <c r="M11" s="25" t="str">
        <f t="shared" si="1"/>
        <v>-</v>
      </c>
      <c r="N11" s="8"/>
      <c r="O11" s="8" t="str">
        <f t="shared" si="2"/>
        <v>-</v>
      </c>
      <c r="P11" s="65" t="str">
        <f t="shared" si="3"/>
        <v>-</v>
      </c>
      <c r="Q11" s="98" t="str">
        <f t="shared" si="4"/>
        <v>-</v>
      </c>
      <c r="R11" s="67" t="str">
        <f t="shared" ref="R11:U11" si="10">IF($M11="-","-",M33)</f>
        <v>-</v>
      </c>
      <c r="S11" s="67" t="str">
        <f t="shared" si="10"/>
        <v>-</v>
      </c>
      <c r="T11" s="65" t="str">
        <f t="shared" si="10"/>
        <v>-</v>
      </c>
      <c r="U11" s="10" t="str">
        <f t="shared" si="10"/>
        <v>-</v>
      </c>
      <c r="AB11" s="35">
        <v>9</v>
      </c>
      <c r="AC11" s="35" t="b">
        <v>0</v>
      </c>
      <c r="AD11" s="35">
        <f t="shared" si="0"/>
        <v>999</v>
      </c>
      <c r="AE11" s="35" t="e">
        <f>IF(AC11,COUNTIF(AC$3:AC11,TRUE),#N/A)</f>
        <v>#N/A</v>
      </c>
      <c r="AF11" s="118" t="s">
        <v>9</v>
      </c>
      <c r="AG11" s="118" t="s">
        <v>15</v>
      </c>
      <c r="AH11" s="118">
        <v>462</v>
      </c>
      <c r="AI11" s="119">
        <v>0.75</v>
      </c>
      <c r="AJ11" s="118">
        <v>15</v>
      </c>
      <c r="AK11" s="118" t="s">
        <v>191</v>
      </c>
    </row>
    <row r="12" spans="2:37">
      <c r="G12" s="31"/>
      <c r="H12" s="139"/>
      <c r="I12" s="28" t="s">
        <v>67</v>
      </c>
      <c r="J12" s="56">
        <v>0.2</v>
      </c>
      <c r="K12" s="55">
        <f>SUM(J12,H10)</f>
        <v>0.4</v>
      </c>
      <c r="L12" s="107"/>
      <c r="M12" s="25" t="str">
        <f>IF(B34="-","-",F34)</f>
        <v>-</v>
      </c>
      <c r="N12" s="8"/>
      <c r="O12" s="8" t="str">
        <f>IF(B34="-","-",G34)</f>
        <v>-</v>
      </c>
      <c r="P12" s="65" t="str">
        <f>IF(B34="-","-",L34)</f>
        <v>-</v>
      </c>
      <c r="Q12" s="98" t="str">
        <f>IF(B34="-","-",H34)</f>
        <v>-</v>
      </c>
      <c r="R12" s="67" t="str">
        <f t="shared" ref="R12:U12" si="11">IF($M12="-","-",M34)</f>
        <v>-</v>
      </c>
      <c r="S12" s="67" t="str">
        <f t="shared" si="11"/>
        <v>-</v>
      </c>
      <c r="T12" s="65" t="str">
        <f t="shared" si="11"/>
        <v>-</v>
      </c>
      <c r="U12" s="10" t="str">
        <f t="shared" si="11"/>
        <v>-</v>
      </c>
      <c r="AB12" s="35">
        <v>10</v>
      </c>
      <c r="AC12" s="35" t="b">
        <v>0</v>
      </c>
      <c r="AD12" s="35">
        <f t="shared" si="0"/>
        <v>999</v>
      </c>
      <c r="AE12" s="35" t="e">
        <f>IF(AC12,COUNTIF(AC$3:AC12,TRUE),#N/A)</f>
        <v>#N/A</v>
      </c>
      <c r="AF12" s="118" t="s">
        <v>9</v>
      </c>
      <c r="AG12" s="118" t="s">
        <v>205</v>
      </c>
      <c r="AH12" s="118">
        <v>459</v>
      </c>
      <c r="AI12" s="119">
        <v>0.75</v>
      </c>
      <c r="AJ12" s="118">
        <v>21</v>
      </c>
      <c r="AK12" s="118" t="s">
        <v>191</v>
      </c>
    </row>
    <row r="13" spans="2:37">
      <c r="G13" s="29" t="s">
        <v>143</v>
      </c>
      <c r="H13" s="135">
        <v>0.2</v>
      </c>
      <c r="I13" s="28" t="s">
        <v>71</v>
      </c>
      <c r="J13" s="56">
        <v>0.2</v>
      </c>
      <c r="K13" s="55">
        <f>SUM(J13,H13)</f>
        <v>0.4</v>
      </c>
      <c r="L13" s="107"/>
      <c r="M13" s="25" t="str">
        <f t="shared" ref="M13:M19" si="12">IF(B35="-","-",F35)</f>
        <v>-</v>
      </c>
      <c r="N13" s="8"/>
      <c r="O13" s="8" t="str">
        <f t="shared" ref="O13:O19" si="13">IF(B35="-","-",G35)</f>
        <v>-</v>
      </c>
      <c r="P13" s="65" t="str">
        <f t="shared" ref="P13:P19" si="14">IF(B35="-","-",L35)</f>
        <v>-</v>
      </c>
      <c r="Q13" s="98" t="str">
        <f t="shared" ref="Q13:Q19" si="15">IF(B35="-","-",H35)</f>
        <v>-</v>
      </c>
      <c r="R13" s="67" t="str">
        <f t="shared" ref="R13:U13" si="16">IF($M13="-","-",M35)</f>
        <v>-</v>
      </c>
      <c r="S13" s="67" t="str">
        <f t="shared" si="16"/>
        <v>-</v>
      </c>
      <c r="T13" s="65" t="str">
        <f t="shared" si="16"/>
        <v>-</v>
      </c>
      <c r="U13" s="10" t="str">
        <f t="shared" si="16"/>
        <v>-</v>
      </c>
      <c r="AB13" s="35">
        <v>11</v>
      </c>
      <c r="AC13" s="35" t="b">
        <v>0</v>
      </c>
      <c r="AD13" s="35">
        <f t="shared" si="0"/>
        <v>999</v>
      </c>
      <c r="AE13" s="35" t="e">
        <f>IF(AC13,COUNTIF(AC$3:AC13,TRUE),#N/A)</f>
        <v>#N/A</v>
      </c>
      <c r="AF13" s="118" t="s">
        <v>53</v>
      </c>
      <c r="AG13" s="118" t="s">
        <v>190</v>
      </c>
      <c r="AH13" s="118">
        <v>61</v>
      </c>
      <c r="AI13" s="119">
        <v>0.35</v>
      </c>
      <c r="AJ13" s="118">
        <v>11</v>
      </c>
      <c r="AK13" s="118" t="s">
        <v>191</v>
      </c>
    </row>
    <row r="14" spans="2:37">
      <c r="G14" s="31"/>
      <c r="H14" s="139"/>
      <c r="I14" s="28" t="s">
        <v>119</v>
      </c>
      <c r="J14" s="56">
        <v>0.2</v>
      </c>
      <c r="K14" s="55">
        <f>SUM(J14,H13)</f>
        <v>0.4</v>
      </c>
      <c r="L14" s="107"/>
      <c r="M14" s="25" t="str">
        <f t="shared" si="12"/>
        <v>-</v>
      </c>
      <c r="N14" s="8"/>
      <c r="O14" s="8" t="str">
        <f t="shared" si="13"/>
        <v>-</v>
      </c>
      <c r="P14" s="65" t="str">
        <f t="shared" si="14"/>
        <v>-</v>
      </c>
      <c r="Q14" s="98" t="str">
        <f t="shared" si="15"/>
        <v>-</v>
      </c>
      <c r="R14" s="67" t="str">
        <f t="shared" ref="R14:U14" si="17">IF($M14="-","-",M36)</f>
        <v>-</v>
      </c>
      <c r="S14" s="67" t="str">
        <f t="shared" si="17"/>
        <v>-</v>
      </c>
      <c r="T14" s="65" t="str">
        <f t="shared" si="17"/>
        <v>-</v>
      </c>
      <c r="U14" s="10" t="str">
        <f t="shared" si="17"/>
        <v>-</v>
      </c>
      <c r="AB14" s="35">
        <v>12</v>
      </c>
      <c r="AC14" s="35" t="b">
        <v>0</v>
      </c>
      <c r="AD14" s="35">
        <f t="shared" si="0"/>
        <v>999</v>
      </c>
      <c r="AE14" s="35" t="e">
        <f>IF(AC14,COUNTIF(AC$3:AC14,TRUE),#N/A)</f>
        <v>#N/A</v>
      </c>
      <c r="AF14" s="118" t="s">
        <v>53</v>
      </c>
      <c r="AG14" s="118" t="s">
        <v>192</v>
      </c>
      <c r="AH14" s="118">
        <v>83</v>
      </c>
      <c r="AI14" s="119">
        <v>0.25</v>
      </c>
      <c r="AJ14" s="118">
        <v>3</v>
      </c>
      <c r="AK14" s="118" t="s">
        <v>191</v>
      </c>
    </row>
    <row r="15" spans="2:37">
      <c r="G15" s="29" t="s">
        <v>149</v>
      </c>
      <c r="H15" s="135">
        <v>0.2</v>
      </c>
      <c r="I15" s="28" t="s">
        <v>120</v>
      </c>
      <c r="J15" s="56">
        <v>0.2</v>
      </c>
      <c r="K15" s="55">
        <f>SUM(J15,H15)</f>
        <v>0.4</v>
      </c>
      <c r="L15" s="107"/>
      <c r="M15" s="25" t="str">
        <f t="shared" si="12"/>
        <v>-</v>
      </c>
      <c r="N15" s="8"/>
      <c r="O15" s="8" t="str">
        <f t="shared" si="13"/>
        <v>-</v>
      </c>
      <c r="P15" s="65" t="str">
        <f t="shared" si="14"/>
        <v>-</v>
      </c>
      <c r="Q15" s="98" t="str">
        <f t="shared" si="15"/>
        <v>-</v>
      </c>
      <c r="R15" s="67" t="str">
        <f t="shared" ref="R15:U15" si="18">IF($M15="-","-",M37)</f>
        <v>-</v>
      </c>
      <c r="S15" s="67" t="str">
        <f t="shared" si="18"/>
        <v>-</v>
      </c>
      <c r="T15" s="65" t="str">
        <f t="shared" si="18"/>
        <v>-</v>
      </c>
      <c r="U15" s="10" t="str">
        <f t="shared" si="18"/>
        <v>-</v>
      </c>
      <c r="AB15" s="35">
        <v>13</v>
      </c>
      <c r="AC15" s="35" t="b">
        <v>0</v>
      </c>
      <c r="AD15" s="35">
        <f t="shared" si="0"/>
        <v>999</v>
      </c>
      <c r="AE15" s="35" t="e">
        <f>IF(AC15,COUNTIF(AC$3:AC15,TRUE),#N/A)</f>
        <v>#N/A</v>
      </c>
      <c r="AF15" s="118" t="s">
        <v>53</v>
      </c>
      <c r="AG15" s="118" t="s">
        <v>193</v>
      </c>
      <c r="AH15" s="118">
        <v>137</v>
      </c>
      <c r="AI15" s="119">
        <v>0.75</v>
      </c>
      <c r="AJ15" s="118">
        <v>4</v>
      </c>
      <c r="AK15" s="118" t="s">
        <v>191</v>
      </c>
    </row>
    <row r="16" spans="2:37">
      <c r="G16" s="31"/>
      <c r="H16" s="139"/>
      <c r="I16" s="28" t="s">
        <v>124</v>
      </c>
      <c r="J16" s="56">
        <v>0.2</v>
      </c>
      <c r="K16" s="55">
        <f>SUM(J16,H15)</f>
        <v>0.4</v>
      </c>
      <c r="L16" s="107"/>
      <c r="M16" s="25" t="str">
        <f t="shared" si="12"/>
        <v>-</v>
      </c>
      <c r="N16" s="8"/>
      <c r="O16" s="8" t="str">
        <f t="shared" si="13"/>
        <v>-</v>
      </c>
      <c r="P16" s="65" t="str">
        <f t="shared" si="14"/>
        <v>-</v>
      </c>
      <c r="Q16" s="98" t="str">
        <f t="shared" si="15"/>
        <v>-</v>
      </c>
      <c r="R16" s="67" t="str">
        <f t="shared" ref="R16:U16" si="19">IF($M16="-","-",M38)</f>
        <v>-</v>
      </c>
      <c r="S16" s="67" t="str">
        <f t="shared" si="19"/>
        <v>-</v>
      </c>
      <c r="T16" s="65" t="str">
        <f t="shared" si="19"/>
        <v>-</v>
      </c>
      <c r="U16" s="10" t="str">
        <f t="shared" si="19"/>
        <v>-</v>
      </c>
      <c r="AB16" s="35">
        <v>14</v>
      </c>
      <c r="AC16" s="35" t="b">
        <v>1</v>
      </c>
      <c r="AD16" s="35">
        <f t="shared" si="0"/>
        <v>14</v>
      </c>
      <c r="AE16" s="35">
        <f>IF(AC16,COUNTIF(AC$3:AC16,TRUE),#N/A)</f>
        <v>2</v>
      </c>
      <c r="AF16" s="118" t="s">
        <v>53</v>
      </c>
      <c r="AG16" s="118" t="s">
        <v>194</v>
      </c>
      <c r="AH16" s="118">
        <v>125</v>
      </c>
      <c r="AI16" s="119">
        <v>0.25</v>
      </c>
      <c r="AJ16" s="118">
        <v>6</v>
      </c>
      <c r="AK16" s="118" t="s">
        <v>191</v>
      </c>
    </row>
    <row r="17" spans="1:37">
      <c r="G17" s="28" t="s">
        <v>145</v>
      </c>
      <c r="H17" s="102">
        <v>0.2</v>
      </c>
      <c r="I17" s="28" t="s">
        <v>53</v>
      </c>
      <c r="J17" s="56">
        <v>0.2</v>
      </c>
      <c r="K17" s="55">
        <f>SUM(J17,H17)</f>
        <v>0.4</v>
      </c>
      <c r="L17" s="107"/>
      <c r="M17" s="25" t="str">
        <f t="shared" si="12"/>
        <v>-</v>
      </c>
      <c r="N17" s="8"/>
      <c r="O17" s="8" t="str">
        <f t="shared" si="13"/>
        <v>-</v>
      </c>
      <c r="P17" s="65" t="str">
        <f t="shared" si="14"/>
        <v>-</v>
      </c>
      <c r="Q17" s="98" t="str">
        <f t="shared" si="15"/>
        <v>-</v>
      </c>
      <c r="R17" s="67" t="str">
        <f t="shared" ref="R17:U17" si="20">IF($M17="-","-",M39)</f>
        <v>-</v>
      </c>
      <c r="S17" s="67" t="str">
        <f t="shared" si="20"/>
        <v>-</v>
      </c>
      <c r="T17" s="65" t="str">
        <f t="shared" si="20"/>
        <v>-</v>
      </c>
      <c r="U17" s="10" t="str">
        <f t="shared" si="20"/>
        <v>-</v>
      </c>
      <c r="AB17" s="35">
        <v>15</v>
      </c>
      <c r="AC17" s="35" t="b">
        <v>1</v>
      </c>
      <c r="AD17" s="35">
        <f t="shared" si="0"/>
        <v>15</v>
      </c>
      <c r="AE17" s="35">
        <f>IF(AC17,COUNTIF(AC$3:AC17,TRUE),#N/A)</f>
        <v>3</v>
      </c>
      <c r="AF17" s="118" t="s">
        <v>53</v>
      </c>
      <c r="AG17" s="118" t="s">
        <v>195</v>
      </c>
      <c r="AH17" s="118">
        <v>182</v>
      </c>
      <c r="AI17" s="119">
        <v>0.25</v>
      </c>
      <c r="AJ17" s="118">
        <v>5</v>
      </c>
      <c r="AK17" s="118" t="s">
        <v>191</v>
      </c>
    </row>
    <row r="18" spans="1:37">
      <c r="G18" s="28" t="s">
        <v>148</v>
      </c>
      <c r="H18" s="102">
        <v>0.2</v>
      </c>
      <c r="I18" s="28" t="s">
        <v>121</v>
      </c>
      <c r="J18" s="56">
        <v>0.2</v>
      </c>
      <c r="K18" s="55">
        <f>SUM(J18,H18)</f>
        <v>0.4</v>
      </c>
      <c r="L18" s="107"/>
      <c r="M18" s="25" t="str">
        <f t="shared" si="12"/>
        <v>-</v>
      </c>
      <c r="N18" s="8"/>
      <c r="O18" s="8" t="str">
        <f t="shared" si="13"/>
        <v>-</v>
      </c>
      <c r="P18" s="65" t="str">
        <f t="shared" si="14"/>
        <v>-</v>
      </c>
      <c r="Q18" s="98" t="str">
        <f t="shared" si="15"/>
        <v>-</v>
      </c>
      <c r="R18" s="67" t="str">
        <f t="shared" ref="R18:U18" si="21">IF($M18="-","-",M40)</f>
        <v>-</v>
      </c>
      <c r="S18" s="67" t="str">
        <f t="shared" si="21"/>
        <v>-</v>
      </c>
      <c r="T18" s="65" t="str">
        <f t="shared" si="21"/>
        <v>-</v>
      </c>
      <c r="U18" s="10" t="str">
        <f t="shared" si="21"/>
        <v>-</v>
      </c>
      <c r="AB18" s="35">
        <v>16</v>
      </c>
      <c r="AC18" s="35" t="b">
        <v>1</v>
      </c>
      <c r="AD18" s="35">
        <f t="shared" si="0"/>
        <v>16</v>
      </c>
      <c r="AE18" s="35">
        <f>IF(AC18,COUNTIF(AC$3:AC18,TRUE),#N/A)</f>
        <v>4</v>
      </c>
      <c r="AF18" s="118" t="s">
        <v>53</v>
      </c>
      <c r="AG18" s="118" t="s">
        <v>196</v>
      </c>
      <c r="AH18" s="118">
        <v>198</v>
      </c>
      <c r="AI18" s="119">
        <v>0.35</v>
      </c>
      <c r="AJ18" s="118">
        <v>14</v>
      </c>
      <c r="AK18" s="118" t="s">
        <v>182</v>
      </c>
    </row>
    <row r="19" spans="1:37">
      <c r="G19" s="28" t="s">
        <v>144</v>
      </c>
      <c r="H19" s="102">
        <v>0.2</v>
      </c>
      <c r="I19" s="28" t="s">
        <v>122</v>
      </c>
      <c r="J19" s="56">
        <v>0.2</v>
      </c>
      <c r="K19" s="55">
        <f>SUM(J19,H19)</f>
        <v>0.4</v>
      </c>
      <c r="L19" s="107"/>
      <c r="M19" s="26" t="str">
        <f t="shared" si="12"/>
        <v>-</v>
      </c>
      <c r="N19" s="12"/>
      <c r="O19" s="12" t="str">
        <f t="shared" si="13"/>
        <v>-</v>
      </c>
      <c r="P19" s="84" t="str">
        <f t="shared" si="14"/>
        <v>-</v>
      </c>
      <c r="Q19" s="99" t="str">
        <f t="shared" si="15"/>
        <v>-</v>
      </c>
      <c r="R19" s="83" t="str">
        <f t="shared" ref="R19:U19" si="22">IF($M19="-","-",M41)</f>
        <v>-</v>
      </c>
      <c r="S19" s="83" t="str">
        <f t="shared" si="22"/>
        <v>-</v>
      </c>
      <c r="T19" s="84" t="str">
        <f t="shared" si="22"/>
        <v>-</v>
      </c>
      <c r="U19" s="14" t="str">
        <f t="shared" si="22"/>
        <v>-</v>
      </c>
      <c r="AB19" s="35">
        <v>17</v>
      </c>
      <c r="AC19" s="35" t="b">
        <v>0</v>
      </c>
      <c r="AD19" s="35">
        <f t="shared" si="0"/>
        <v>999</v>
      </c>
      <c r="AE19" s="35" t="e">
        <f>IF(AC19,COUNTIF(AC$3:AC19,TRUE),#N/A)</f>
        <v>#N/A</v>
      </c>
      <c r="AF19" s="118" t="s">
        <v>53</v>
      </c>
      <c r="AG19" s="118" t="s">
        <v>206</v>
      </c>
      <c r="AH19" s="118">
        <v>50770</v>
      </c>
      <c r="AI19" s="119">
        <v>0.35</v>
      </c>
      <c r="AJ19" s="118">
        <v>31</v>
      </c>
      <c r="AK19" s="118" t="s">
        <v>191</v>
      </c>
    </row>
    <row r="20" spans="1:37">
      <c r="L20" s="107"/>
      <c r="AB20" s="35">
        <v>18</v>
      </c>
      <c r="AC20" s="35" t="b">
        <v>0</v>
      </c>
      <c r="AD20" s="35">
        <f t="shared" si="0"/>
        <v>999</v>
      </c>
      <c r="AE20" s="35" t="e">
        <f>IF(AC20,COUNTIF(AC$3:AC20,TRUE),#N/A)</f>
        <v>#N/A</v>
      </c>
      <c r="AF20" s="118" t="s">
        <v>119</v>
      </c>
      <c r="AG20" s="118" t="s">
        <v>207</v>
      </c>
      <c r="AH20" s="118">
        <v>145</v>
      </c>
      <c r="AI20" s="119">
        <v>0.75</v>
      </c>
      <c r="AJ20" s="118">
        <v>18</v>
      </c>
      <c r="AK20" s="118" t="s">
        <v>191</v>
      </c>
    </row>
    <row r="21" spans="1:37">
      <c r="A21" s="107"/>
      <c r="AB21" s="35">
        <v>19</v>
      </c>
      <c r="AC21" s="35" t="b">
        <v>0</v>
      </c>
      <c r="AD21" s="35">
        <f t="shared" si="0"/>
        <v>999</v>
      </c>
      <c r="AE21" s="35" t="e">
        <f>IF(AC21,COUNTIF(AC$3:AC21,TRUE),#N/A)</f>
        <v>#N/A</v>
      </c>
      <c r="AF21" s="118" t="s">
        <v>119</v>
      </c>
      <c r="AG21" s="118" t="s">
        <v>208</v>
      </c>
      <c r="AH21" s="118">
        <v>180</v>
      </c>
      <c r="AI21" s="119">
        <v>2</v>
      </c>
      <c r="AJ21" s="118">
        <v>17</v>
      </c>
      <c r="AK21" s="118" t="s">
        <v>191</v>
      </c>
    </row>
    <row r="22" spans="1:37">
      <c r="A22" s="107"/>
      <c r="AB22" s="35">
        <v>20</v>
      </c>
      <c r="AC22" s="35" t="b">
        <v>0</v>
      </c>
      <c r="AD22" s="35">
        <f t="shared" si="0"/>
        <v>999</v>
      </c>
      <c r="AE22" s="35" t="e">
        <f>IF(AC22,COUNTIF(AC$3:AC22,TRUE),#N/A)</f>
        <v>#N/A</v>
      </c>
      <c r="AF22" s="118" t="s">
        <v>119</v>
      </c>
      <c r="AG22" s="118" t="s">
        <v>209</v>
      </c>
      <c r="AH22" s="118">
        <v>196</v>
      </c>
      <c r="AI22" s="119">
        <v>0.75</v>
      </c>
      <c r="AJ22" s="118">
        <v>23</v>
      </c>
      <c r="AK22" s="118" t="s">
        <v>191</v>
      </c>
    </row>
    <row r="23" spans="1:37">
      <c r="A23" s="107"/>
      <c r="G23" s="8"/>
      <c r="I23" s="8"/>
      <c r="J23" s="9"/>
      <c r="K23" s="8"/>
      <c r="L23" s="8"/>
      <c r="M23" s="8"/>
      <c r="N23" s="8"/>
      <c r="AB23" s="35">
        <v>21</v>
      </c>
      <c r="AC23" s="35" t="b">
        <v>1</v>
      </c>
      <c r="AD23" s="35">
        <f t="shared" si="0"/>
        <v>21</v>
      </c>
      <c r="AE23" s="35">
        <f>IF(AC23,COUNTIF(AC$3:AC23,TRUE),#N/A)</f>
        <v>5</v>
      </c>
      <c r="AF23" s="118" t="s">
        <v>119</v>
      </c>
      <c r="AG23" s="118" t="s">
        <v>210</v>
      </c>
      <c r="AH23" s="118">
        <v>341</v>
      </c>
      <c r="AI23" s="119">
        <v>0.75</v>
      </c>
      <c r="AJ23" s="118">
        <v>26</v>
      </c>
      <c r="AK23" s="118" t="s">
        <v>191</v>
      </c>
    </row>
    <row r="24" spans="1:37">
      <c r="A24" s="107"/>
      <c r="L24" s="52" t="s">
        <v>3</v>
      </c>
      <c r="M24" s="39">
        <v>1.5</v>
      </c>
      <c r="N24" s="46">
        <v>1.2</v>
      </c>
      <c r="O24" s="41">
        <v>0.99</v>
      </c>
      <c r="P24" s="43">
        <v>0.8</v>
      </c>
      <c r="Q24" s="45"/>
      <c r="R24" s="48" t="s">
        <v>135</v>
      </c>
      <c r="S24" s="49" t="s">
        <v>134</v>
      </c>
      <c r="T24" s="50" t="s">
        <v>152</v>
      </c>
      <c r="U24" s="51" t="s">
        <v>133</v>
      </c>
      <c r="V24" s="54"/>
      <c r="W24" s="54"/>
      <c r="AB24" s="35">
        <v>22</v>
      </c>
      <c r="AC24" s="35" t="b">
        <v>1</v>
      </c>
      <c r="AD24" s="35">
        <f t="shared" si="0"/>
        <v>22</v>
      </c>
      <c r="AE24" s="35">
        <f>IF(AC24,COUNTIF(AC$3:AC24,TRUE),#N/A)</f>
        <v>6</v>
      </c>
      <c r="AF24" s="118" t="s">
        <v>119</v>
      </c>
      <c r="AG24" s="118" t="s">
        <v>211</v>
      </c>
      <c r="AH24" s="118">
        <v>563</v>
      </c>
      <c r="AI24" s="119">
        <v>0.75</v>
      </c>
      <c r="AJ24" s="118">
        <v>33</v>
      </c>
      <c r="AK24" s="118" t="s">
        <v>191</v>
      </c>
    </row>
    <row r="25" spans="1:37">
      <c r="A25" s="123"/>
      <c r="G25" t="s">
        <v>7</v>
      </c>
      <c r="H25" t="s">
        <v>2</v>
      </c>
      <c r="I25" t="s">
        <v>8</v>
      </c>
      <c r="J25" t="s">
        <v>6</v>
      </c>
      <c r="K25" t="s">
        <v>140</v>
      </c>
      <c r="L25" s="52" t="s">
        <v>153</v>
      </c>
      <c r="M25" s="39" t="s">
        <v>199</v>
      </c>
      <c r="N25" s="46" t="s">
        <v>200</v>
      </c>
      <c r="O25" s="41" t="s">
        <v>138</v>
      </c>
      <c r="P25" s="43" t="s">
        <v>139</v>
      </c>
      <c r="Q25" s="45" t="s">
        <v>128</v>
      </c>
      <c r="R25" s="48" t="s">
        <v>132</v>
      </c>
      <c r="S25" s="49" t="s">
        <v>131</v>
      </c>
      <c r="T25" s="50" t="s">
        <v>130</v>
      </c>
      <c r="U25" s="51" t="s">
        <v>129</v>
      </c>
      <c r="V25" s="122" t="s">
        <v>171</v>
      </c>
      <c r="W25" s="122" t="s">
        <v>172</v>
      </c>
      <c r="AB25" s="35">
        <v>23</v>
      </c>
      <c r="AC25" s="35" t="b">
        <v>0</v>
      </c>
      <c r="AD25" s="35">
        <f t="shared" si="0"/>
        <v>999</v>
      </c>
      <c r="AE25" s="35" t="e">
        <f>IF(AC25,COUNTIF(AC$3:AC25,TRUE),#N/A)</f>
        <v>#N/A</v>
      </c>
      <c r="AF25" s="118" t="s">
        <v>119</v>
      </c>
      <c r="AG25" s="118" t="s">
        <v>168</v>
      </c>
      <c r="AH25" s="118">
        <v>1139</v>
      </c>
      <c r="AI25" s="119">
        <v>1.1000000000000001</v>
      </c>
      <c r="AJ25" s="118">
        <v>44</v>
      </c>
      <c r="AK25" s="118" t="s">
        <v>191</v>
      </c>
    </row>
    <row r="26" spans="1:37">
      <c r="A26" s="123"/>
      <c r="H26" s="1"/>
      <c r="L26" s="52"/>
      <c r="M26" s="40">
        <f>M27</f>
        <v>480</v>
      </c>
      <c r="N26" s="47">
        <f>N27</f>
        <v>274</v>
      </c>
      <c r="O26" s="42">
        <f>O27</f>
        <v>196</v>
      </c>
      <c r="P26" s="44">
        <f>P27</f>
        <v>158</v>
      </c>
      <c r="Q26" s="45"/>
      <c r="R26" s="48"/>
      <c r="S26" s="49"/>
      <c r="T26" s="50"/>
      <c r="U26" s="51"/>
      <c r="V26" s="123"/>
      <c r="W26" s="123"/>
      <c r="AB26" s="35">
        <v>24</v>
      </c>
      <c r="AC26" s="35" t="b">
        <v>0</v>
      </c>
      <c r="AD26" s="35">
        <f t="shared" si="0"/>
        <v>999</v>
      </c>
      <c r="AE26" s="35" t="e">
        <f>IF(AC26,COUNTIF(AC$3:AC26,TRUE),#N/A)</f>
        <v>#N/A</v>
      </c>
      <c r="AF26" s="118" t="s">
        <v>119</v>
      </c>
      <c r="AG26" s="118" t="s">
        <v>167</v>
      </c>
      <c r="AH26" s="118">
        <v>795</v>
      </c>
      <c r="AI26" s="119">
        <v>0.5</v>
      </c>
      <c r="AJ26" s="118">
        <v>19</v>
      </c>
      <c r="AK26" s="118" t="s">
        <v>191</v>
      </c>
    </row>
    <row r="27" spans="1:37">
      <c r="A27" s="123">
        <v>1</v>
      </c>
      <c r="B27">
        <f t="shared" ref="B27:B41" si="23">IF(A27&gt;$AA$2,"-",A27)</f>
        <v>1</v>
      </c>
      <c r="C27">
        <f t="shared" ref="C27:C41" si="24">IF(A27&gt;$AA$2,#N/A,SMALL($AD$3:$AD$42,A27))</f>
        <v>8</v>
      </c>
      <c r="D27" t="str">
        <f>G27</f>
        <v>妖精</v>
      </c>
      <c r="E27" t="str">
        <f t="shared" ref="E27:E41" si="25">CHOOSE($C27,AK$3,AK$4,AK$5,AK$6,AK$7,AK$8,AK$9,AK$10,AK$11,AK$12,AK$13,AK$14,AK$15,AK$16,AK$17,AK$18,AK$19,AK$20,AK$21,AK$22,AK$23,AK$24,AK$25,AK$26,AK$27,AK$28,AK$29,AK$30,AK$31,AK$32,AK$33,AK$34,AK$35,AK$36,AK$37,AK$38,AK$39,AK$40,AK$41,AK$42)</f>
        <v>-</v>
      </c>
      <c r="F27" t="str">
        <f t="shared" ref="F27:F41" si="26">CHOOSE($C27,AG$3,AG$4,AG$5,AG$6,AG$7,AG$8,AG$9,AG$10,AG$11,AG$12,AG$13,AG$14,AG$15,AG$16,AG$17,AG$18,AG$19,AG$20,AG$21,AG$22,AG$23,AG$24,AG$25,AG$26,AG$27,AG$28,AG$29,AG$30,AG$31,AG$32,AG$33,AG$34,AG$35,AG$36,AG$37,AG$38,AG$39,AG$40,AG$41,AG$42)</f>
        <v>トロール</v>
      </c>
      <c r="G27" t="str">
        <f t="shared" ref="G27:G41" si="27">CHOOSE($C27,AF$3,AF$4,AF$5,AF$6,AF$7,AF$8,AF$9,AF$10,AF$11,AF$12,AF$13,AF$14,AF$15,AF$16,AF$17,AF$18,AF$19,AF$20,AF$21,AF$22,AF$23,AF$24,AF$25,AF$26,AF$27,AF$28,AF$29,AF$30,AF$31,AF$32,AF$33,AF$34,AF$35,AF$36,AF$37,AF$38,AF$39,AF$40,AF$41,AF$42)</f>
        <v>妖精</v>
      </c>
      <c r="H27" s="1">
        <f t="shared" ref="H27:H41" si="28">CHOOSE($C27,AI$3,AI$4,AI$5,AI$6,AI$7,AI$8,AI$9,AI$10,AI$11,AI$12,AI$13,AI$14,AI$15,AI$16,AI$17,AI$18,AI$19,AI$20,AI$21,AI$22,AI$23,AI$24,AI$25,AI$26,AI$27,AI$28,AI$29,AI$30,AI$31,AI$32,AI$33,AI$34,AI$35,AI$36,AI$37,AI$38,AI$39,AI$40,AI$41,AI$42)</f>
        <v>1</v>
      </c>
      <c r="I27">
        <f t="shared" ref="I27:I41" si="29">CHOOSE($C27,AJ$3,AJ$4,AJ$5,AJ$6,AJ$7,AJ$8,AJ$9,AJ$10,AJ$11,AJ$12,AJ$13,AJ$14,AJ$15,AJ$16,AJ$17,AJ$18,AJ$19,AJ$20,AJ$21,AJ$22,AJ$23,AJ$24,AJ$25,AJ$26,AJ$27,AJ$28,AJ$29,AJ$30,AJ$31,AJ$32,AJ$33,AJ$34,AJ$35,AJ$36,AJ$37,AJ$38,AJ$39,AJ$40,AJ$41,AJ$42)</f>
        <v>10</v>
      </c>
      <c r="J27">
        <v>0.5</v>
      </c>
      <c r="K27">
        <f t="shared" ref="K27:K41" si="30">SUMIF($I$4:$I$19,G27,$K$4:$K$19)</f>
        <v>0.4</v>
      </c>
      <c r="L27" s="52">
        <f t="shared" ref="L27" si="31">CHOOSE($C27,AH$3,AH$4,AH$5,AH$6,AH$7,AH$8,AH$9,AH$10,AH$11,AH$12,AH$13,AH$14,AH$15,AH$16,AH$17,AH$18,AH$19,AH$20,AH$21,AH$22,AH$23,AH$24,AH$25,AH$26,AH$27,AH$28,AH$29,AH$30,AH$31,AH$32,AH$33,AH$34,AH$35,AH$36,AH$37,AH$38,AH$39,AH$40,AH$41,AH$42)</f>
        <v>368</v>
      </c>
      <c r="M27" s="40">
        <f>ROUNDDOWN(($E$3*$J27+1-$I27*0)*$H27*M$24*(1+$E$4)*(1+$E$5+$K27)*(1+$E$6),0)*MAX(1,$B$10)</f>
        <v>480</v>
      </c>
      <c r="N27" s="47">
        <f>ROUNDDOWN(($E$3*$J27+1-$I27*0)*$H27*N$24*(1+$E$4)*(1+$E$5+$K27)*(1+0),0)*MAX(1,$B$10)</f>
        <v>274</v>
      </c>
      <c r="O27" s="42">
        <f>ROUNDDOWN(($E$3*$J27+1-$I27)*$H27*O$24*(1+$E$4)*(1+$E$5+$K27)*(1+0),0)*MAX(1,$B$10)</f>
        <v>196</v>
      </c>
      <c r="P27" s="44">
        <f>ROUNDDOWN(($E$3*$J27+1-$I27)*$H27*P$24*(1+$E$4)*(1+$E$5+$K27)*(1+0),0)*MAX(1,$B$10)</f>
        <v>158</v>
      </c>
      <c r="Q27" s="45">
        <f t="shared" ref="Q27:Q41" si="32">$L27</f>
        <v>368</v>
      </c>
      <c r="R27" s="48">
        <f t="shared" ref="R27:R41" si="33">IF($L27&lt;M27,$L27,#N/A)</f>
        <v>368</v>
      </c>
      <c r="S27" s="49" t="e">
        <f t="shared" ref="S27:S41" si="34">IF($L27&lt;N27,$L27,#N/A)</f>
        <v>#N/A</v>
      </c>
      <c r="T27" s="50" t="e">
        <f t="shared" ref="T27:T41" si="35">IF($L27&lt;O27,$L27,#N/A)</f>
        <v>#N/A</v>
      </c>
      <c r="U27" s="51" t="e">
        <f t="shared" ref="U27:U41" si="36">IF($L27&lt;P27,$L27,#N/A)</f>
        <v>#N/A</v>
      </c>
      <c r="V27" s="123">
        <f t="shared" ref="V27:V41" si="37">MAX(M27,L27)</f>
        <v>480</v>
      </c>
      <c r="W27" s="123">
        <f t="shared" ref="W27:W41" si="38">MAX(M27,L27)</f>
        <v>480</v>
      </c>
      <c r="AB27" s="35">
        <v>25</v>
      </c>
      <c r="AC27" s="35" t="b">
        <v>0</v>
      </c>
      <c r="AD27" s="35">
        <f t="shared" si="0"/>
        <v>999</v>
      </c>
      <c r="AE27" s="35" t="e">
        <f>IF(AC27,COUNTIF(AC$3:AC27,TRUE),#N/A)</f>
        <v>#N/A</v>
      </c>
      <c r="AF27" s="118"/>
      <c r="AG27" s="118"/>
      <c r="AH27" s="118"/>
      <c r="AI27" s="119"/>
      <c r="AJ27" s="118"/>
      <c r="AK27" s="118"/>
    </row>
    <row r="28" spans="1:37">
      <c r="A28" s="123">
        <v>2</v>
      </c>
      <c r="B28">
        <f t="shared" si="23"/>
        <v>2</v>
      </c>
      <c r="C28">
        <f t="shared" si="24"/>
        <v>14</v>
      </c>
      <c r="D28" t="str">
        <f t="shared" ref="D28:D41" si="39">G28</f>
        <v>外道</v>
      </c>
      <c r="E28" t="str">
        <f t="shared" si="25"/>
        <v>-</v>
      </c>
      <c r="F28" t="str">
        <f t="shared" si="26"/>
        <v>ブロブ</v>
      </c>
      <c r="G28" t="str">
        <f t="shared" si="27"/>
        <v>外道</v>
      </c>
      <c r="H28" s="1">
        <f t="shared" si="28"/>
        <v>0.25</v>
      </c>
      <c r="I28">
        <f t="shared" si="29"/>
        <v>6</v>
      </c>
      <c r="J28">
        <v>0.5</v>
      </c>
      <c r="K28">
        <f t="shared" si="30"/>
        <v>0.4</v>
      </c>
      <c r="L28" s="52">
        <f t="shared" ref="L28:L41" si="40">CHOOSE($C28,AH$3,AH$4,AH$5,AH$6,AH$7,AH$8,AH$9,AH$10,AH$11,AH$12,AH$13,AH$14,AH$15,AH$16,AH$17,AH$18,AH$19,AH$20,AH$21,AH$22,AH$23,AH$24,AH$25,AH$26,AH$27,AH$28,AH$29,AH$30,AH$31,AH$32,AH$33,AH$34,AH$35,AH$36,AH$37,AH$38,AH$39,AH$40,AH$41,AH$42)</f>
        <v>125</v>
      </c>
      <c r="M28" s="40">
        <f t="shared" ref="M28:M41" si="41">ROUNDDOWN(($E$3*$J28+1-$I28*0)*$H28*M$24*(1+$E$4)*(1+$E$5+$K28)*(1+$E$6),0)*MAX(1,$B$10)</f>
        <v>120</v>
      </c>
      <c r="N28" s="47">
        <f t="shared" ref="N28:N41" si="42">ROUNDDOWN(($E$3*$J28+1-$I28*0)*$H28*N$24*(1+$E$4)*(1+$E$5+$K28)*(1+0),0)*MAX(1,$B$10)</f>
        <v>68</v>
      </c>
      <c r="O28" s="42">
        <f t="shared" ref="O28:P41" si="43">ROUNDDOWN(($E$3*$J28+1-$I28)*$H28*O$24*(1+$E$4)*(1+$E$5+$K28)*(1+0),0)*MAX(1,$B$10)</f>
        <v>52</v>
      </c>
      <c r="P28" s="44">
        <f t="shared" si="43"/>
        <v>42</v>
      </c>
      <c r="Q28" s="45">
        <f t="shared" si="32"/>
        <v>125</v>
      </c>
      <c r="R28" s="48" t="e">
        <f t="shared" si="33"/>
        <v>#N/A</v>
      </c>
      <c r="S28" s="49" t="e">
        <f t="shared" si="34"/>
        <v>#N/A</v>
      </c>
      <c r="T28" s="50" t="e">
        <f t="shared" si="35"/>
        <v>#N/A</v>
      </c>
      <c r="U28" s="51" t="e">
        <f t="shared" si="36"/>
        <v>#N/A</v>
      </c>
      <c r="V28" s="123">
        <f t="shared" si="37"/>
        <v>125</v>
      </c>
      <c r="W28" s="123">
        <f t="shared" si="38"/>
        <v>125</v>
      </c>
      <c r="AB28" s="35">
        <v>26</v>
      </c>
      <c r="AC28" s="35" t="b">
        <v>0</v>
      </c>
      <c r="AD28" s="35">
        <f t="shared" si="0"/>
        <v>999</v>
      </c>
      <c r="AE28" s="35" t="e">
        <f>IF(AC28,COUNTIF(AC$3:AC28,TRUE),#N/A)</f>
        <v>#N/A</v>
      </c>
      <c r="AF28" s="118"/>
      <c r="AG28" s="118"/>
      <c r="AH28" s="118"/>
      <c r="AI28" s="119"/>
      <c r="AJ28" s="118"/>
      <c r="AK28" s="118"/>
    </row>
    <row r="29" spans="1:37">
      <c r="A29" s="123">
        <v>3</v>
      </c>
      <c r="B29">
        <f t="shared" si="23"/>
        <v>3</v>
      </c>
      <c r="C29">
        <f t="shared" si="24"/>
        <v>15</v>
      </c>
      <c r="D29" t="str">
        <f t="shared" si="39"/>
        <v>外道</v>
      </c>
      <c r="E29" t="str">
        <f t="shared" si="25"/>
        <v>-</v>
      </c>
      <c r="F29" t="str">
        <f t="shared" si="26"/>
        <v>ブラックウーズ</v>
      </c>
      <c r="G29" t="str">
        <f t="shared" si="27"/>
        <v>外道</v>
      </c>
      <c r="H29" s="1">
        <f t="shared" si="28"/>
        <v>0.25</v>
      </c>
      <c r="I29">
        <f t="shared" si="29"/>
        <v>5</v>
      </c>
      <c r="J29">
        <v>0.5</v>
      </c>
      <c r="K29">
        <f t="shared" si="30"/>
        <v>0.4</v>
      </c>
      <c r="L29" s="52">
        <f t="shared" si="40"/>
        <v>182</v>
      </c>
      <c r="M29" s="40">
        <f t="shared" si="41"/>
        <v>120</v>
      </c>
      <c r="N29" s="47">
        <f t="shared" si="42"/>
        <v>68</v>
      </c>
      <c r="O29" s="42">
        <f t="shared" si="43"/>
        <v>52</v>
      </c>
      <c r="P29" s="44">
        <f t="shared" si="43"/>
        <v>42</v>
      </c>
      <c r="Q29" s="45">
        <f t="shared" si="32"/>
        <v>182</v>
      </c>
      <c r="R29" s="48" t="e">
        <f t="shared" si="33"/>
        <v>#N/A</v>
      </c>
      <c r="S29" s="49" t="e">
        <f t="shared" si="34"/>
        <v>#N/A</v>
      </c>
      <c r="T29" s="50" t="e">
        <f t="shared" si="35"/>
        <v>#N/A</v>
      </c>
      <c r="U29" s="51" t="e">
        <f t="shared" si="36"/>
        <v>#N/A</v>
      </c>
      <c r="V29" s="123">
        <f t="shared" si="37"/>
        <v>182</v>
      </c>
      <c r="W29" s="123">
        <f t="shared" si="38"/>
        <v>182</v>
      </c>
      <c r="AB29" s="35">
        <v>27</v>
      </c>
      <c r="AC29" s="35" t="b">
        <v>0</v>
      </c>
      <c r="AD29" s="35">
        <f t="shared" si="0"/>
        <v>999</v>
      </c>
      <c r="AE29" s="35" t="e">
        <f>IF(AC29,COUNTIF(AC$3:AC29,TRUE),#N/A)</f>
        <v>#N/A</v>
      </c>
      <c r="AF29" s="118"/>
      <c r="AG29" s="118"/>
      <c r="AH29" s="118"/>
      <c r="AI29" s="119"/>
      <c r="AJ29" s="118"/>
      <c r="AK29" s="118"/>
    </row>
    <row r="30" spans="1:37">
      <c r="A30" s="123">
        <v>4</v>
      </c>
      <c r="B30">
        <f t="shared" si="23"/>
        <v>4</v>
      </c>
      <c r="C30">
        <f t="shared" si="24"/>
        <v>16</v>
      </c>
      <c r="D30" t="str">
        <f t="shared" si="39"/>
        <v>外道</v>
      </c>
      <c r="E30" t="str">
        <f t="shared" si="25"/>
        <v>魔法無効</v>
      </c>
      <c r="F30" t="str">
        <f t="shared" si="26"/>
        <v>スペクター</v>
      </c>
      <c r="G30" t="str">
        <f t="shared" si="27"/>
        <v>外道</v>
      </c>
      <c r="H30" s="1">
        <f t="shared" si="28"/>
        <v>0.35</v>
      </c>
      <c r="I30">
        <f t="shared" si="29"/>
        <v>14</v>
      </c>
      <c r="J30">
        <v>0.5</v>
      </c>
      <c r="K30">
        <f t="shared" si="30"/>
        <v>0.4</v>
      </c>
      <c r="L30" s="52">
        <f t="shared" si="40"/>
        <v>198</v>
      </c>
      <c r="M30" s="40">
        <f t="shared" si="41"/>
        <v>168</v>
      </c>
      <c r="N30" s="47">
        <f t="shared" si="42"/>
        <v>96</v>
      </c>
      <c r="O30" s="42">
        <f t="shared" si="43"/>
        <v>64</v>
      </c>
      <c r="P30" s="44">
        <f t="shared" si="43"/>
        <v>52</v>
      </c>
      <c r="Q30" s="45">
        <f t="shared" si="32"/>
        <v>198</v>
      </c>
      <c r="R30" s="48" t="e">
        <f t="shared" si="33"/>
        <v>#N/A</v>
      </c>
      <c r="S30" s="49" t="e">
        <f t="shared" si="34"/>
        <v>#N/A</v>
      </c>
      <c r="T30" s="50" t="e">
        <f t="shared" si="35"/>
        <v>#N/A</v>
      </c>
      <c r="U30" s="51" t="e">
        <f t="shared" si="36"/>
        <v>#N/A</v>
      </c>
      <c r="V30" s="123">
        <f t="shared" si="37"/>
        <v>198</v>
      </c>
      <c r="W30" s="123">
        <f t="shared" si="38"/>
        <v>198</v>
      </c>
      <c r="AB30" s="35">
        <v>28</v>
      </c>
      <c r="AC30" s="35" t="b">
        <v>0</v>
      </c>
      <c r="AD30" s="35">
        <f t="shared" si="0"/>
        <v>999</v>
      </c>
      <c r="AE30" s="35" t="e">
        <f>IF(AC30,COUNTIF(AC$3:AC30,TRUE),#N/A)</f>
        <v>#N/A</v>
      </c>
      <c r="AF30" s="118"/>
      <c r="AG30" s="118"/>
      <c r="AH30" s="118"/>
      <c r="AI30" s="119"/>
      <c r="AJ30" s="118"/>
      <c r="AK30" s="118"/>
    </row>
    <row r="31" spans="1:37">
      <c r="A31" s="123">
        <v>5</v>
      </c>
      <c r="B31">
        <f t="shared" si="23"/>
        <v>5</v>
      </c>
      <c r="C31">
        <f t="shared" si="24"/>
        <v>21</v>
      </c>
      <c r="D31" t="str">
        <f t="shared" si="39"/>
        <v>天使</v>
      </c>
      <c r="E31" t="str">
        <f t="shared" si="25"/>
        <v>-</v>
      </c>
      <c r="F31" t="str">
        <f t="shared" si="26"/>
        <v>ヴァーチャー</v>
      </c>
      <c r="G31" t="str">
        <f t="shared" si="27"/>
        <v>天使</v>
      </c>
      <c r="H31" s="1">
        <f t="shared" si="28"/>
        <v>0.75</v>
      </c>
      <c r="I31">
        <f t="shared" si="29"/>
        <v>26</v>
      </c>
      <c r="J31">
        <v>0.5</v>
      </c>
      <c r="K31">
        <f t="shared" si="30"/>
        <v>0.4</v>
      </c>
      <c r="L31" s="52">
        <f t="shared" si="40"/>
        <v>341</v>
      </c>
      <c r="M31" s="40">
        <f t="shared" si="41"/>
        <v>360</v>
      </c>
      <c r="N31" s="47">
        <f t="shared" si="42"/>
        <v>205</v>
      </c>
      <c r="O31" s="42">
        <f t="shared" si="43"/>
        <v>111</v>
      </c>
      <c r="P31" s="44">
        <f t="shared" si="43"/>
        <v>90</v>
      </c>
      <c r="Q31" s="45">
        <f t="shared" si="32"/>
        <v>341</v>
      </c>
      <c r="R31" s="48">
        <f t="shared" si="33"/>
        <v>341</v>
      </c>
      <c r="S31" s="49" t="e">
        <f t="shared" si="34"/>
        <v>#N/A</v>
      </c>
      <c r="T31" s="50" t="e">
        <f t="shared" si="35"/>
        <v>#N/A</v>
      </c>
      <c r="U31" s="51" t="e">
        <f t="shared" si="36"/>
        <v>#N/A</v>
      </c>
      <c r="V31" s="123">
        <f t="shared" si="37"/>
        <v>360</v>
      </c>
      <c r="W31" s="123">
        <f t="shared" si="38"/>
        <v>360</v>
      </c>
      <c r="AB31" s="35">
        <v>29</v>
      </c>
      <c r="AC31" s="35" t="b">
        <v>0</v>
      </c>
      <c r="AD31" s="35">
        <f t="shared" si="0"/>
        <v>999</v>
      </c>
      <c r="AE31" s="35" t="e">
        <f>IF(AC31,COUNTIF(AC$3:AC31,TRUE),#N/A)</f>
        <v>#N/A</v>
      </c>
      <c r="AF31" s="118"/>
      <c r="AG31" s="118"/>
      <c r="AH31" s="118"/>
      <c r="AI31" s="119"/>
      <c r="AJ31" s="118"/>
      <c r="AK31" s="118"/>
    </row>
    <row r="32" spans="1:37">
      <c r="A32" s="123">
        <v>6</v>
      </c>
      <c r="B32">
        <f t="shared" si="23"/>
        <v>6</v>
      </c>
      <c r="C32">
        <f t="shared" si="24"/>
        <v>22</v>
      </c>
      <c r="D32" t="str">
        <f t="shared" si="39"/>
        <v>天使</v>
      </c>
      <c r="E32" t="str">
        <f t="shared" si="25"/>
        <v>-</v>
      </c>
      <c r="F32" t="str">
        <f t="shared" si="26"/>
        <v>ドミニオン</v>
      </c>
      <c r="G32" t="str">
        <f t="shared" si="27"/>
        <v>天使</v>
      </c>
      <c r="H32" s="1">
        <f t="shared" si="28"/>
        <v>0.75</v>
      </c>
      <c r="I32">
        <f t="shared" si="29"/>
        <v>33</v>
      </c>
      <c r="J32">
        <v>0.5</v>
      </c>
      <c r="K32">
        <f t="shared" si="30"/>
        <v>0.4</v>
      </c>
      <c r="L32" s="52">
        <f t="shared" si="40"/>
        <v>563</v>
      </c>
      <c r="M32" s="40">
        <f t="shared" si="41"/>
        <v>360</v>
      </c>
      <c r="N32" s="47">
        <f t="shared" si="42"/>
        <v>205</v>
      </c>
      <c r="O32" s="42">
        <f t="shared" si="43"/>
        <v>96</v>
      </c>
      <c r="P32" s="44">
        <f t="shared" si="43"/>
        <v>77</v>
      </c>
      <c r="Q32" s="45">
        <f t="shared" si="32"/>
        <v>563</v>
      </c>
      <c r="R32" s="48" t="e">
        <f t="shared" si="33"/>
        <v>#N/A</v>
      </c>
      <c r="S32" s="49" t="e">
        <f t="shared" si="34"/>
        <v>#N/A</v>
      </c>
      <c r="T32" s="50" t="e">
        <f t="shared" si="35"/>
        <v>#N/A</v>
      </c>
      <c r="U32" s="51" t="e">
        <f t="shared" si="36"/>
        <v>#N/A</v>
      </c>
      <c r="V32" s="123">
        <f t="shared" si="37"/>
        <v>563</v>
      </c>
      <c r="W32" s="123">
        <f t="shared" si="38"/>
        <v>563</v>
      </c>
      <c r="AB32" s="35">
        <v>30</v>
      </c>
      <c r="AC32" s="35" t="b">
        <v>0</v>
      </c>
      <c r="AD32" s="35">
        <f t="shared" si="0"/>
        <v>999</v>
      </c>
      <c r="AE32" s="35" t="e">
        <f>IF(AC32,COUNTIF(AC$3:AC32,TRUE),#N/A)</f>
        <v>#N/A</v>
      </c>
      <c r="AF32" s="118"/>
      <c r="AG32" s="118"/>
      <c r="AH32" s="118"/>
      <c r="AI32" s="119"/>
      <c r="AJ32" s="118"/>
      <c r="AK32" s="118"/>
    </row>
    <row r="33" spans="1:37">
      <c r="A33" s="123">
        <v>7</v>
      </c>
      <c r="B33" t="str">
        <f t="shared" si="23"/>
        <v>-</v>
      </c>
      <c r="C33" t="e">
        <f t="shared" si="24"/>
        <v>#N/A</v>
      </c>
      <c r="D33" t="e">
        <f t="shared" si="39"/>
        <v>#N/A</v>
      </c>
      <c r="E33" t="e">
        <f t="shared" si="25"/>
        <v>#N/A</v>
      </c>
      <c r="F33" t="e">
        <f t="shared" si="26"/>
        <v>#N/A</v>
      </c>
      <c r="G33" t="e">
        <f t="shared" si="27"/>
        <v>#N/A</v>
      </c>
      <c r="H33" s="1" t="e">
        <f t="shared" si="28"/>
        <v>#N/A</v>
      </c>
      <c r="I33" t="e">
        <f t="shared" si="29"/>
        <v>#N/A</v>
      </c>
      <c r="J33">
        <v>0.5</v>
      </c>
      <c r="K33">
        <f t="shared" si="30"/>
        <v>0</v>
      </c>
      <c r="L33" s="52" t="e">
        <f t="shared" si="40"/>
        <v>#N/A</v>
      </c>
      <c r="M33" s="40" t="e">
        <f t="shared" si="41"/>
        <v>#N/A</v>
      </c>
      <c r="N33" s="47" t="e">
        <f t="shared" si="42"/>
        <v>#N/A</v>
      </c>
      <c r="O33" s="42" t="e">
        <f t="shared" si="43"/>
        <v>#N/A</v>
      </c>
      <c r="P33" s="44" t="e">
        <f t="shared" si="43"/>
        <v>#N/A</v>
      </c>
      <c r="Q33" s="45" t="e">
        <f t="shared" si="32"/>
        <v>#N/A</v>
      </c>
      <c r="R33" s="48" t="e">
        <f t="shared" si="33"/>
        <v>#N/A</v>
      </c>
      <c r="S33" s="49" t="e">
        <f t="shared" si="34"/>
        <v>#N/A</v>
      </c>
      <c r="T33" s="50" t="e">
        <f t="shared" si="35"/>
        <v>#N/A</v>
      </c>
      <c r="U33" s="51" t="e">
        <f t="shared" si="36"/>
        <v>#N/A</v>
      </c>
      <c r="V33" s="123" t="e">
        <f t="shared" si="37"/>
        <v>#N/A</v>
      </c>
      <c r="W33" s="123" t="e">
        <f t="shared" si="38"/>
        <v>#N/A</v>
      </c>
      <c r="AB33" s="35">
        <v>31</v>
      </c>
      <c r="AC33" s="35" t="b">
        <v>0</v>
      </c>
      <c r="AD33" s="35">
        <f t="shared" si="0"/>
        <v>999</v>
      </c>
      <c r="AE33" s="35" t="e">
        <f>IF(AC33,COUNTIF(AC$3:AC33,TRUE),#N/A)</f>
        <v>#N/A</v>
      </c>
      <c r="AF33" s="118"/>
      <c r="AG33" s="118"/>
      <c r="AH33" s="118"/>
      <c r="AI33" s="119"/>
      <c r="AJ33" s="118"/>
      <c r="AK33" s="118"/>
    </row>
    <row r="34" spans="1:37">
      <c r="A34" s="123">
        <v>8</v>
      </c>
      <c r="B34" t="str">
        <f t="shared" si="23"/>
        <v>-</v>
      </c>
      <c r="C34" t="e">
        <f t="shared" si="24"/>
        <v>#N/A</v>
      </c>
      <c r="D34" t="e">
        <f t="shared" si="39"/>
        <v>#N/A</v>
      </c>
      <c r="E34" t="e">
        <f t="shared" si="25"/>
        <v>#N/A</v>
      </c>
      <c r="F34" t="e">
        <f t="shared" si="26"/>
        <v>#N/A</v>
      </c>
      <c r="G34" t="e">
        <f t="shared" si="27"/>
        <v>#N/A</v>
      </c>
      <c r="H34" s="1" t="e">
        <f t="shared" si="28"/>
        <v>#N/A</v>
      </c>
      <c r="I34" t="e">
        <f t="shared" si="29"/>
        <v>#N/A</v>
      </c>
      <c r="J34">
        <v>0.5</v>
      </c>
      <c r="K34">
        <f t="shared" si="30"/>
        <v>0</v>
      </c>
      <c r="L34" s="52" t="e">
        <f t="shared" si="40"/>
        <v>#N/A</v>
      </c>
      <c r="M34" s="40" t="e">
        <f t="shared" si="41"/>
        <v>#N/A</v>
      </c>
      <c r="N34" s="47" t="e">
        <f t="shared" si="42"/>
        <v>#N/A</v>
      </c>
      <c r="O34" s="42" t="e">
        <f t="shared" si="43"/>
        <v>#N/A</v>
      </c>
      <c r="P34" s="44" t="e">
        <f t="shared" si="43"/>
        <v>#N/A</v>
      </c>
      <c r="Q34" s="45" t="e">
        <f t="shared" si="32"/>
        <v>#N/A</v>
      </c>
      <c r="R34" s="48" t="e">
        <f t="shared" si="33"/>
        <v>#N/A</v>
      </c>
      <c r="S34" s="49" t="e">
        <f t="shared" si="34"/>
        <v>#N/A</v>
      </c>
      <c r="T34" s="50" t="e">
        <f t="shared" si="35"/>
        <v>#N/A</v>
      </c>
      <c r="U34" s="51" t="e">
        <f t="shared" si="36"/>
        <v>#N/A</v>
      </c>
      <c r="V34" s="123" t="e">
        <f t="shared" si="37"/>
        <v>#N/A</v>
      </c>
      <c r="W34" s="123" t="e">
        <f t="shared" si="38"/>
        <v>#N/A</v>
      </c>
      <c r="AB34" s="35">
        <v>32</v>
      </c>
      <c r="AC34" s="35" t="b">
        <v>0</v>
      </c>
      <c r="AD34" s="35">
        <f t="shared" si="0"/>
        <v>999</v>
      </c>
      <c r="AE34" s="35" t="e">
        <f>IF(AC34,COUNTIF(AC$3:AC34,TRUE),#N/A)</f>
        <v>#N/A</v>
      </c>
      <c r="AF34" s="118"/>
      <c r="AG34" s="118"/>
      <c r="AH34" s="118"/>
      <c r="AI34" s="119"/>
      <c r="AJ34" s="118"/>
      <c r="AK34" s="118"/>
    </row>
    <row r="35" spans="1:37">
      <c r="A35" s="123">
        <v>9</v>
      </c>
      <c r="B35" t="str">
        <f t="shared" si="23"/>
        <v>-</v>
      </c>
      <c r="C35" t="e">
        <f t="shared" si="24"/>
        <v>#N/A</v>
      </c>
      <c r="D35" t="e">
        <f t="shared" si="39"/>
        <v>#N/A</v>
      </c>
      <c r="E35" t="e">
        <f t="shared" si="25"/>
        <v>#N/A</v>
      </c>
      <c r="F35" t="e">
        <f t="shared" si="26"/>
        <v>#N/A</v>
      </c>
      <c r="G35" t="e">
        <f t="shared" si="27"/>
        <v>#N/A</v>
      </c>
      <c r="H35" s="1" t="e">
        <f t="shared" si="28"/>
        <v>#N/A</v>
      </c>
      <c r="I35" t="e">
        <f t="shared" si="29"/>
        <v>#N/A</v>
      </c>
      <c r="J35">
        <v>0.5</v>
      </c>
      <c r="K35">
        <f t="shared" si="30"/>
        <v>0</v>
      </c>
      <c r="L35" s="52" t="e">
        <f t="shared" si="40"/>
        <v>#N/A</v>
      </c>
      <c r="M35" s="40" t="e">
        <f t="shared" si="41"/>
        <v>#N/A</v>
      </c>
      <c r="N35" s="47" t="e">
        <f t="shared" si="42"/>
        <v>#N/A</v>
      </c>
      <c r="O35" s="42" t="e">
        <f t="shared" si="43"/>
        <v>#N/A</v>
      </c>
      <c r="P35" s="44" t="e">
        <f t="shared" si="43"/>
        <v>#N/A</v>
      </c>
      <c r="Q35" s="45" t="e">
        <f t="shared" si="32"/>
        <v>#N/A</v>
      </c>
      <c r="R35" s="48" t="e">
        <f t="shared" si="33"/>
        <v>#N/A</v>
      </c>
      <c r="S35" s="49" t="e">
        <f t="shared" si="34"/>
        <v>#N/A</v>
      </c>
      <c r="T35" s="50" t="e">
        <f t="shared" si="35"/>
        <v>#N/A</v>
      </c>
      <c r="U35" s="51" t="e">
        <f t="shared" si="36"/>
        <v>#N/A</v>
      </c>
      <c r="V35" s="123" t="e">
        <f t="shared" si="37"/>
        <v>#N/A</v>
      </c>
      <c r="W35" s="123" t="e">
        <f t="shared" si="38"/>
        <v>#N/A</v>
      </c>
      <c r="AB35" s="35">
        <v>33</v>
      </c>
      <c r="AC35" s="35" t="b">
        <v>0</v>
      </c>
      <c r="AD35" s="35">
        <f t="shared" si="0"/>
        <v>999</v>
      </c>
      <c r="AE35" s="35" t="e">
        <f>IF(AC35,COUNTIF(AC$3:AC35,TRUE),#N/A)</f>
        <v>#N/A</v>
      </c>
      <c r="AF35" s="118"/>
      <c r="AG35" s="118"/>
      <c r="AH35" s="118"/>
      <c r="AI35" s="119"/>
      <c r="AJ35" s="118"/>
      <c r="AK35" s="118"/>
    </row>
    <row r="36" spans="1:37">
      <c r="A36" s="123">
        <v>10</v>
      </c>
      <c r="B36" t="str">
        <f t="shared" si="23"/>
        <v>-</v>
      </c>
      <c r="C36" t="e">
        <f t="shared" si="24"/>
        <v>#N/A</v>
      </c>
      <c r="D36" t="e">
        <f t="shared" si="39"/>
        <v>#N/A</v>
      </c>
      <c r="E36" t="e">
        <f t="shared" si="25"/>
        <v>#N/A</v>
      </c>
      <c r="F36" t="e">
        <f t="shared" si="26"/>
        <v>#N/A</v>
      </c>
      <c r="G36" t="e">
        <f t="shared" si="27"/>
        <v>#N/A</v>
      </c>
      <c r="H36" s="1" t="e">
        <f t="shared" si="28"/>
        <v>#N/A</v>
      </c>
      <c r="I36" t="e">
        <f t="shared" si="29"/>
        <v>#N/A</v>
      </c>
      <c r="J36">
        <v>0.5</v>
      </c>
      <c r="K36">
        <f t="shared" si="30"/>
        <v>0</v>
      </c>
      <c r="L36" s="52" t="e">
        <f t="shared" si="40"/>
        <v>#N/A</v>
      </c>
      <c r="M36" s="40" t="e">
        <f t="shared" si="41"/>
        <v>#N/A</v>
      </c>
      <c r="N36" s="47" t="e">
        <f t="shared" si="42"/>
        <v>#N/A</v>
      </c>
      <c r="O36" s="42" t="e">
        <f t="shared" si="43"/>
        <v>#N/A</v>
      </c>
      <c r="P36" s="44" t="e">
        <f t="shared" si="43"/>
        <v>#N/A</v>
      </c>
      <c r="Q36" s="45" t="e">
        <f t="shared" si="32"/>
        <v>#N/A</v>
      </c>
      <c r="R36" s="48" t="e">
        <f t="shared" si="33"/>
        <v>#N/A</v>
      </c>
      <c r="S36" s="49" t="e">
        <f t="shared" si="34"/>
        <v>#N/A</v>
      </c>
      <c r="T36" s="50" t="e">
        <f t="shared" si="35"/>
        <v>#N/A</v>
      </c>
      <c r="U36" s="51" t="e">
        <f t="shared" si="36"/>
        <v>#N/A</v>
      </c>
      <c r="V36" s="123" t="e">
        <f t="shared" si="37"/>
        <v>#N/A</v>
      </c>
      <c r="W36" s="123" t="e">
        <f t="shared" si="38"/>
        <v>#N/A</v>
      </c>
      <c r="AB36" s="35">
        <v>34</v>
      </c>
      <c r="AC36" s="35" t="b">
        <v>0</v>
      </c>
      <c r="AD36" s="35">
        <f t="shared" si="0"/>
        <v>999</v>
      </c>
      <c r="AE36" s="35" t="e">
        <f>IF(AC36,COUNTIF(AC$3:AC36,TRUE),#N/A)</f>
        <v>#N/A</v>
      </c>
      <c r="AF36" s="118"/>
      <c r="AG36" s="118"/>
      <c r="AH36" s="118"/>
      <c r="AI36" s="119"/>
      <c r="AJ36" s="118"/>
      <c r="AK36" s="118"/>
    </row>
    <row r="37" spans="1:37">
      <c r="A37" s="123">
        <v>11</v>
      </c>
      <c r="B37" t="str">
        <f t="shared" si="23"/>
        <v>-</v>
      </c>
      <c r="C37" t="e">
        <f t="shared" si="24"/>
        <v>#N/A</v>
      </c>
      <c r="D37" t="e">
        <f t="shared" si="39"/>
        <v>#N/A</v>
      </c>
      <c r="E37" t="e">
        <f t="shared" si="25"/>
        <v>#N/A</v>
      </c>
      <c r="F37" t="e">
        <f t="shared" si="26"/>
        <v>#N/A</v>
      </c>
      <c r="G37" t="e">
        <f t="shared" si="27"/>
        <v>#N/A</v>
      </c>
      <c r="H37" s="1" t="e">
        <f t="shared" si="28"/>
        <v>#N/A</v>
      </c>
      <c r="I37" t="e">
        <f t="shared" si="29"/>
        <v>#N/A</v>
      </c>
      <c r="J37">
        <v>0.5</v>
      </c>
      <c r="K37">
        <f t="shared" si="30"/>
        <v>0</v>
      </c>
      <c r="L37" s="52" t="e">
        <f t="shared" si="40"/>
        <v>#N/A</v>
      </c>
      <c r="M37" s="40" t="e">
        <f t="shared" si="41"/>
        <v>#N/A</v>
      </c>
      <c r="N37" s="47" t="e">
        <f t="shared" si="42"/>
        <v>#N/A</v>
      </c>
      <c r="O37" s="42" t="e">
        <f t="shared" si="43"/>
        <v>#N/A</v>
      </c>
      <c r="P37" s="44" t="e">
        <f t="shared" si="43"/>
        <v>#N/A</v>
      </c>
      <c r="Q37" s="45" t="e">
        <f t="shared" si="32"/>
        <v>#N/A</v>
      </c>
      <c r="R37" s="48" t="e">
        <f t="shared" si="33"/>
        <v>#N/A</v>
      </c>
      <c r="S37" s="49" t="e">
        <f t="shared" si="34"/>
        <v>#N/A</v>
      </c>
      <c r="T37" s="50" t="e">
        <f t="shared" si="35"/>
        <v>#N/A</v>
      </c>
      <c r="U37" s="51" t="e">
        <f t="shared" si="36"/>
        <v>#N/A</v>
      </c>
      <c r="V37" s="123" t="e">
        <f t="shared" si="37"/>
        <v>#N/A</v>
      </c>
      <c r="W37" s="123" t="e">
        <f t="shared" si="38"/>
        <v>#N/A</v>
      </c>
      <c r="AB37" s="35">
        <v>35</v>
      </c>
      <c r="AC37" s="35" t="b">
        <v>0</v>
      </c>
      <c r="AD37" s="35">
        <f t="shared" si="0"/>
        <v>999</v>
      </c>
      <c r="AE37" s="35" t="e">
        <f>IF(AC37,COUNTIF(AC$3:AC37,TRUE),#N/A)</f>
        <v>#N/A</v>
      </c>
      <c r="AF37" s="118"/>
      <c r="AG37" s="118"/>
      <c r="AH37" s="118"/>
      <c r="AI37" s="119"/>
      <c r="AJ37" s="118"/>
      <c r="AK37" s="118"/>
    </row>
    <row r="38" spans="1:37">
      <c r="A38" s="123">
        <v>12</v>
      </c>
      <c r="B38" t="str">
        <f t="shared" si="23"/>
        <v>-</v>
      </c>
      <c r="C38" t="e">
        <f t="shared" si="24"/>
        <v>#N/A</v>
      </c>
      <c r="D38" t="e">
        <f t="shared" si="39"/>
        <v>#N/A</v>
      </c>
      <c r="E38" t="e">
        <f t="shared" si="25"/>
        <v>#N/A</v>
      </c>
      <c r="F38" t="e">
        <f t="shared" si="26"/>
        <v>#N/A</v>
      </c>
      <c r="G38" t="e">
        <f t="shared" si="27"/>
        <v>#N/A</v>
      </c>
      <c r="H38" s="1" t="e">
        <f t="shared" si="28"/>
        <v>#N/A</v>
      </c>
      <c r="I38" t="e">
        <f t="shared" si="29"/>
        <v>#N/A</v>
      </c>
      <c r="J38">
        <v>0.5</v>
      </c>
      <c r="K38">
        <f t="shared" si="30"/>
        <v>0</v>
      </c>
      <c r="L38" s="52" t="e">
        <f t="shared" si="40"/>
        <v>#N/A</v>
      </c>
      <c r="M38" s="40" t="e">
        <f t="shared" si="41"/>
        <v>#N/A</v>
      </c>
      <c r="N38" s="47" t="e">
        <f t="shared" si="42"/>
        <v>#N/A</v>
      </c>
      <c r="O38" s="42" t="e">
        <f t="shared" si="43"/>
        <v>#N/A</v>
      </c>
      <c r="P38" s="44" t="e">
        <f t="shared" si="43"/>
        <v>#N/A</v>
      </c>
      <c r="Q38" s="45" t="e">
        <f t="shared" si="32"/>
        <v>#N/A</v>
      </c>
      <c r="R38" s="48" t="e">
        <f t="shared" si="33"/>
        <v>#N/A</v>
      </c>
      <c r="S38" s="49" t="e">
        <f t="shared" si="34"/>
        <v>#N/A</v>
      </c>
      <c r="T38" s="50" t="e">
        <f t="shared" si="35"/>
        <v>#N/A</v>
      </c>
      <c r="U38" s="51" t="e">
        <f t="shared" si="36"/>
        <v>#N/A</v>
      </c>
      <c r="V38" s="123" t="e">
        <f t="shared" si="37"/>
        <v>#N/A</v>
      </c>
      <c r="W38" s="123" t="e">
        <f t="shared" si="38"/>
        <v>#N/A</v>
      </c>
      <c r="AB38" s="35">
        <v>36</v>
      </c>
      <c r="AC38" s="35" t="b">
        <v>0</v>
      </c>
      <c r="AD38" s="35">
        <f t="shared" si="0"/>
        <v>999</v>
      </c>
      <c r="AE38" s="35" t="e">
        <f>IF(AC38,COUNTIF(AC$3:AC38,TRUE),#N/A)</f>
        <v>#N/A</v>
      </c>
      <c r="AF38" s="118"/>
      <c r="AG38" s="118"/>
      <c r="AH38" s="118"/>
      <c r="AI38" s="119"/>
      <c r="AJ38" s="118"/>
      <c r="AK38" s="118"/>
    </row>
    <row r="39" spans="1:37">
      <c r="A39" s="123">
        <v>13</v>
      </c>
      <c r="B39" t="str">
        <f t="shared" si="23"/>
        <v>-</v>
      </c>
      <c r="C39" t="e">
        <f t="shared" si="24"/>
        <v>#N/A</v>
      </c>
      <c r="D39" t="e">
        <f t="shared" si="39"/>
        <v>#N/A</v>
      </c>
      <c r="E39" t="e">
        <f t="shared" si="25"/>
        <v>#N/A</v>
      </c>
      <c r="F39" t="e">
        <f t="shared" si="26"/>
        <v>#N/A</v>
      </c>
      <c r="G39" t="e">
        <f t="shared" si="27"/>
        <v>#N/A</v>
      </c>
      <c r="H39" s="1" t="e">
        <f t="shared" si="28"/>
        <v>#N/A</v>
      </c>
      <c r="I39" t="e">
        <f t="shared" si="29"/>
        <v>#N/A</v>
      </c>
      <c r="J39">
        <v>0.5</v>
      </c>
      <c r="K39">
        <f t="shared" si="30"/>
        <v>0</v>
      </c>
      <c r="L39" s="52" t="e">
        <f t="shared" si="40"/>
        <v>#N/A</v>
      </c>
      <c r="M39" s="40" t="e">
        <f t="shared" si="41"/>
        <v>#N/A</v>
      </c>
      <c r="N39" s="47" t="e">
        <f t="shared" si="42"/>
        <v>#N/A</v>
      </c>
      <c r="O39" s="42" t="e">
        <f t="shared" si="43"/>
        <v>#N/A</v>
      </c>
      <c r="P39" s="44" t="e">
        <f t="shared" si="43"/>
        <v>#N/A</v>
      </c>
      <c r="Q39" s="45" t="e">
        <f t="shared" si="32"/>
        <v>#N/A</v>
      </c>
      <c r="R39" s="48" t="e">
        <f t="shared" si="33"/>
        <v>#N/A</v>
      </c>
      <c r="S39" s="49" t="e">
        <f t="shared" si="34"/>
        <v>#N/A</v>
      </c>
      <c r="T39" s="50" t="e">
        <f t="shared" si="35"/>
        <v>#N/A</v>
      </c>
      <c r="U39" s="51" t="e">
        <f t="shared" si="36"/>
        <v>#N/A</v>
      </c>
      <c r="V39" s="123" t="e">
        <f t="shared" si="37"/>
        <v>#N/A</v>
      </c>
      <c r="W39" s="123" t="e">
        <f t="shared" si="38"/>
        <v>#N/A</v>
      </c>
      <c r="AB39" s="35">
        <v>37</v>
      </c>
      <c r="AC39" s="35" t="b">
        <v>0</v>
      </c>
      <c r="AD39" s="35">
        <f t="shared" si="0"/>
        <v>999</v>
      </c>
      <c r="AE39" s="35" t="e">
        <f>IF(AC39,COUNTIF(AC$3:AC39,TRUE),#N/A)</f>
        <v>#N/A</v>
      </c>
      <c r="AF39" s="118"/>
      <c r="AG39" s="118"/>
      <c r="AH39" s="118"/>
      <c r="AI39" s="119"/>
      <c r="AJ39" s="118"/>
      <c r="AK39" s="118"/>
    </row>
    <row r="40" spans="1:37">
      <c r="A40" s="123">
        <v>14</v>
      </c>
      <c r="B40" t="str">
        <f t="shared" si="23"/>
        <v>-</v>
      </c>
      <c r="C40" t="e">
        <f t="shared" si="24"/>
        <v>#N/A</v>
      </c>
      <c r="D40" t="e">
        <f t="shared" si="39"/>
        <v>#N/A</v>
      </c>
      <c r="E40" t="e">
        <f t="shared" si="25"/>
        <v>#N/A</v>
      </c>
      <c r="F40" t="e">
        <f t="shared" si="26"/>
        <v>#N/A</v>
      </c>
      <c r="G40" t="e">
        <f t="shared" si="27"/>
        <v>#N/A</v>
      </c>
      <c r="H40" s="1" t="e">
        <f t="shared" si="28"/>
        <v>#N/A</v>
      </c>
      <c r="I40" t="e">
        <f t="shared" si="29"/>
        <v>#N/A</v>
      </c>
      <c r="J40">
        <v>0.5</v>
      </c>
      <c r="K40">
        <f t="shared" si="30"/>
        <v>0</v>
      </c>
      <c r="L40" s="52" t="e">
        <f t="shared" si="40"/>
        <v>#N/A</v>
      </c>
      <c r="M40" s="40" t="e">
        <f t="shared" si="41"/>
        <v>#N/A</v>
      </c>
      <c r="N40" s="47" t="e">
        <f t="shared" si="42"/>
        <v>#N/A</v>
      </c>
      <c r="O40" s="42" t="e">
        <f t="shared" si="43"/>
        <v>#N/A</v>
      </c>
      <c r="P40" s="44" t="e">
        <f t="shared" si="43"/>
        <v>#N/A</v>
      </c>
      <c r="Q40" s="45" t="e">
        <f t="shared" si="32"/>
        <v>#N/A</v>
      </c>
      <c r="R40" s="48" t="e">
        <f t="shared" si="33"/>
        <v>#N/A</v>
      </c>
      <c r="S40" s="49" t="e">
        <f t="shared" si="34"/>
        <v>#N/A</v>
      </c>
      <c r="T40" s="50" t="e">
        <f t="shared" si="35"/>
        <v>#N/A</v>
      </c>
      <c r="U40" s="51" t="e">
        <f t="shared" si="36"/>
        <v>#N/A</v>
      </c>
      <c r="V40" s="123" t="e">
        <f t="shared" si="37"/>
        <v>#N/A</v>
      </c>
      <c r="W40" s="123" t="e">
        <f t="shared" si="38"/>
        <v>#N/A</v>
      </c>
      <c r="AB40" s="35">
        <v>38</v>
      </c>
      <c r="AC40" s="35" t="b">
        <v>0</v>
      </c>
      <c r="AD40" s="35">
        <f t="shared" si="0"/>
        <v>999</v>
      </c>
      <c r="AE40" s="35" t="e">
        <f>IF(AC40,COUNTIF(AC$3:AC40,TRUE),#N/A)</f>
        <v>#N/A</v>
      </c>
      <c r="AF40" s="118"/>
      <c r="AG40" s="118"/>
      <c r="AH40" s="118"/>
      <c r="AI40" s="119"/>
      <c r="AJ40" s="118"/>
      <c r="AK40" s="118"/>
    </row>
    <row r="41" spans="1:37">
      <c r="A41" s="123">
        <v>15</v>
      </c>
      <c r="B41" t="str">
        <f t="shared" si="23"/>
        <v>-</v>
      </c>
      <c r="C41" t="e">
        <f t="shared" si="24"/>
        <v>#N/A</v>
      </c>
      <c r="D41" t="e">
        <f t="shared" si="39"/>
        <v>#N/A</v>
      </c>
      <c r="E41" t="e">
        <f t="shared" si="25"/>
        <v>#N/A</v>
      </c>
      <c r="F41" t="e">
        <f t="shared" si="26"/>
        <v>#N/A</v>
      </c>
      <c r="G41" t="e">
        <f t="shared" si="27"/>
        <v>#N/A</v>
      </c>
      <c r="H41" s="1" t="e">
        <f t="shared" si="28"/>
        <v>#N/A</v>
      </c>
      <c r="I41" t="e">
        <f t="shared" si="29"/>
        <v>#N/A</v>
      </c>
      <c r="J41">
        <v>0.5</v>
      </c>
      <c r="K41">
        <f t="shared" si="30"/>
        <v>0</v>
      </c>
      <c r="L41" s="52" t="e">
        <f t="shared" si="40"/>
        <v>#N/A</v>
      </c>
      <c r="M41" s="40" t="e">
        <f t="shared" si="41"/>
        <v>#N/A</v>
      </c>
      <c r="N41" s="47" t="e">
        <f t="shared" si="42"/>
        <v>#N/A</v>
      </c>
      <c r="O41" s="42" t="e">
        <f t="shared" si="43"/>
        <v>#N/A</v>
      </c>
      <c r="P41" s="44" t="e">
        <f t="shared" si="43"/>
        <v>#N/A</v>
      </c>
      <c r="Q41" s="45" t="e">
        <f t="shared" si="32"/>
        <v>#N/A</v>
      </c>
      <c r="R41" s="48" t="e">
        <f t="shared" si="33"/>
        <v>#N/A</v>
      </c>
      <c r="S41" s="49" t="e">
        <f t="shared" si="34"/>
        <v>#N/A</v>
      </c>
      <c r="T41" s="50" t="e">
        <f t="shared" si="35"/>
        <v>#N/A</v>
      </c>
      <c r="U41" s="51" t="e">
        <f t="shared" si="36"/>
        <v>#N/A</v>
      </c>
      <c r="V41" s="123" t="e">
        <f t="shared" si="37"/>
        <v>#N/A</v>
      </c>
      <c r="W41" s="123" t="e">
        <f t="shared" si="38"/>
        <v>#N/A</v>
      </c>
      <c r="AB41" s="35">
        <v>39</v>
      </c>
      <c r="AC41" s="35" t="b">
        <v>0</v>
      </c>
      <c r="AD41" s="35">
        <f t="shared" si="0"/>
        <v>999</v>
      </c>
      <c r="AE41" s="35" t="e">
        <f>IF(AC41,COUNTIF(AC$3:AC41,TRUE),#N/A)</f>
        <v>#N/A</v>
      </c>
      <c r="AF41" s="118"/>
      <c r="AG41" s="118"/>
      <c r="AH41" s="118"/>
      <c r="AI41" s="119"/>
      <c r="AJ41" s="118"/>
      <c r="AK41" s="118"/>
    </row>
    <row r="42" spans="1:37">
      <c r="A42" s="107"/>
      <c r="B42" s="107"/>
      <c r="C42" s="107"/>
      <c r="M42" s="40">
        <f>SUMIF($B$27:$B$41,MAX($B$27:$B$41),M27:M41)</f>
        <v>360</v>
      </c>
      <c r="N42" s="47">
        <f t="shared" ref="N42:P42" si="44">SUMIF($B$27:$B$41,MAX($B$27:$B$41),N27:N41)</f>
        <v>205</v>
      </c>
      <c r="O42" s="42">
        <f t="shared" si="44"/>
        <v>96</v>
      </c>
      <c r="P42" s="44">
        <f t="shared" si="44"/>
        <v>77</v>
      </c>
      <c r="Q42" s="45"/>
      <c r="R42" s="48"/>
      <c r="S42" s="49"/>
      <c r="T42" s="50"/>
      <c r="U42" s="51"/>
      <c r="V42" s="123"/>
      <c r="W42" s="123"/>
      <c r="AB42" s="37">
        <v>40</v>
      </c>
      <c r="AC42" s="37" t="b">
        <v>0</v>
      </c>
      <c r="AD42" s="37">
        <f t="shared" si="0"/>
        <v>999</v>
      </c>
      <c r="AE42" s="37" t="e">
        <f>IF(AC42,COUNTIF(AC$3:AC42,TRUE),#N/A)</f>
        <v>#N/A</v>
      </c>
      <c r="AF42" s="120"/>
      <c r="AG42" s="120"/>
      <c r="AH42" s="120"/>
      <c r="AI42" s="121"/>
      <c r="AJ42" s="120"/>
      <c r="AK42" s="120"/>
    </row>
    <row r="43" spans="1:37">
      <c r="A43" s="107"/>
      <c r="W43" s="52"/>
    </row>
    <row r="44" spans="1:37">
      <c r="A44" s="107"/>
    </row>
  </sheetData>
  <mergeCells count="6">
    <mergeCell ref="H15:H16"/>
    <mergeCell ref="B10:E10"/>
    <mergeCell ref="H4:H6"/>
    <mergeCell ref="H7:H9"/>
    <mergeCell ref="H10:H12"/>
    <mergeCell ref="H13:H14"/>
  </mergeCells>
  <phoneticPr fontId="2"/>
  <conditionalFormatting sqref="R5:U19">
    <cfRule type="cellIs" dxfId="3" priority="1" operator="lessThan">
      <formula>$P5</formula>
    </cfRule>
    <cfRule type="cellIs" dxfId="2" priority="2" operator="greaterThanOrEqual">
      <formula>$P5</formula>
    </cfRule>
  </conditionalFormatting>
  <pageMargins left="0.19685039370078741" right="0.19685039370078741" top="0.35433070866141736" bottom="0.15748031496062992" header="0.31496062992125984" footer="0.11811023622047245"/>
  <pageSetup paperSize="9" scale="97" orientation="landscape" verticalDpi="300" r:id="rId1"/>
  <colBreaks count="1" manualBreakCount="1">
    <brk id="24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C48" sqref="C48"/>
    </sheetView>
  </sheetViews>
  <sheetFormatPr defaultRowHeight="12"/>
  <sheetData/>
  <phoneticPr fontId="2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4.9989318521683403E-2"/>
  </sheetPr>
  <dimension ref="A1:BK109"/>
  <sheetViews>
    <sheetView showGridLines="0" zoomScaleNormal="100" workbookViewId="0"/>
  </sheetViews>
  <sheetFormatPr defaultRowHeight="12" outlineLevelCol="1"/>
  <cols>
    <col min="1" max="2" width="1.7109375" customWidth="1"/>
    <col min="3" max="3" width="6.7109375" customWidth="1"/>
    <col min="4" max="5" width="7.7109375" customWidth="1"/>
    <col min="6" max="10" width="6.7109375" customWidth="1"/>
    <col min="11" max="14" width="7.7109375" hidden="1" customWidth="1" outlineLevel="1"/>
    <col min="15" max="19" width="8.7109375" hidden="1" customWidth="1" outlineLevel="1"/>
    <col min="20" max="20" width="8.5703125" customWidth="1" collapsed="1"/>
    <col min="21" max="24" width="6.7109375" customWidth="1"/>
    <col min="25" max="31" width="7.42578125" customWidth="1"/>
    <col min="32" max="32" width="6.7109375" customWidth="1"/>
    <col min="33" max="34" width="2.7109375" customWidth="1"/>
    <col min="35" max="35" width="1.7109375" customWidth="1"/>
    <col min="36" max="36" width="6.7109375" customWidth="1"/>
    <col min="37" max="38" width="2.7109375" hidden="1" customWidth="1" outlineLevel="1"/>
    <col min="39" max="39" width="5.7109375" hidden="1" customWidth="1" outlineLevel="1"/>
    <col min="40" max="40" width="3.7109375" hidden="1" customWidth="1" outlineLevel="1"/>
    <col min="41" max="41" width="7.28515625" hidden="1" customWidth="1" outlineLevel="1"/>
    <col min="42" max="42" width="15.28515625" hidden="1" customWidth="1" outlineLevel="1"/>
    <col min="43" max="45" width="6.7109375" hidden="1" customWidth="1" outlineLevel="1"/>
    <col min="46" max="46" width="8.7109375" hidden="1" customWidth="1" outlineLevel="1"/>
    <col min="47" max="47" width="1.7109375" hidden="1" customWidth="1" outlineLevel="1"/>
    <col min="48" max="48" width="4.7109375" hidden="1" customWidth="1" outlineLevel="1"/>
    <col min="49" max="49" width="5.7109375" hidden="1" customWidth="1" outlineLevel="1"/>
    <col min="50" max="50" width="6.7109375" hidden="1" customWidth="1" outlineLevel="1"/>
    <col min="51" max="51" width="15.7109375" hidden="1" customWidth="1" outlineLevel="1"/>
    <col min="52" max="54" width="6.7109375" hidden="1" customWidth="1" outlineLevel="1"/>
    <col min="55" max="55" width="8.7109375" hidden="1" customWidth="1" outlineLevel="1"/>
    <col min="56" max="56" width="2.7109375" hidden="1" customWidth="1" outlineLevel="1"/>
    <col min="57" max="57" width="3.7109375" hidden="1" customWidth="1" outlineLevel="1"/>
    <col min="58" max="58" width="6.7109375" hidden="1" customWidth="1" outlineLevel="1"/>
    <col min="59" max="61" width="7.7109375" hidden="1" customWidth="1" outlineLevel="1"/>
    <col min="62" max="62" width="9.140625" hidden="1" customWidth="1" outlineLevel="1"/>
    <col min="63" max="63" width="9.140625" collapsed="1"/>
  </cols>
  <sheetData>
    <row r="1" spans="2:61" ht="9.75" customHeight="1">
      <c r="AM1" s="28"/>
      <c r="AN1" s="21"/>
      <c r="AO1" s="22" t="s">
        <v>7</v>
      </c>
      <c r="AP1" s="22" t="s">
        <v>125</v>
      </c>
      <c r="AQ1" s="106" t="s">
        <v>10</v>
      </c>
      <c r="AR1" s="106" t="s">
        <v>16</v>
      </c>
      <c r="AS1" s="106" t="s">
        <v>8</v>
      </c>
      <c r="AT1" s="23"/>
      <c r="AV1" s="28"/>
      <c r="AW1" s="28"/>
      <c r="AX1" s="32" t="s">
        <v>7</v>
      </c>
      <c r="AY1" s="32" t="s">
        <v>125</v>
      </c>
      <c r="AZ1" s="32" t="s">
        <v>10</v>
      </c>
      <c r="BA1" s="32" t="s">
        <v>16</v>
      </c>
      <c r="BB1" s="32" t="s">
        <v>8</v>
      </c>
      <c r="BC1" s="32" t="s">
        <v>180</v>
      </c>
      <c r="BE1" s="28" t="s">
        <v>179</v>
      </c>
      <c r="BF1" s="28"/>
    </row>
    <row r="2" spans="2:61">
      <c r="B2" s="21" t="s">
        <v>173</v>
      </c>
      <c r="C2" s="22"/>
      <c r="D2" s="23"/>
      <c r="F2" s="21" t="s">
        <v>140</v>
      </c>
      <c r="G2" s="22"/>
      <c r="H2" s="22"/>
      <c r="I2" s="22"/>
      <c r="J2" s="23"/>
      <c r="AK2">
        <v>1</v>
      </c>
      <c r="AL2">
        <f t="shared" ref="AL2:AL65" si="0">IF(AO2=AO1,AL1+1,1)</f>
        <v>1</v>
      </c>
      <c r="AM2" s="29">
        <f t="shared" ref="AM2:AM65" si="1">AK2*100+AL2</f>
        <v>101</v>
      </c>
      <c r="AN2" s="3"/>
      <c r="AO2" s="4" t="s">
        <v>9</v>
      </c>
      <c r="AP2" s="4" t="s">
        <v>0</v>
      </c>
      <c r="AQ2" s="4">
        <v>75</v>
      </c>
      <c r="AR2" s="5">
        <v>0.75</v>
      </c>
      <c r="AS2" s="124">
        <v>6</v>
      </c>
      <c r="AT2" s="6" t="s">
        <v>183</v>
      </c>
      <c r="AV2" s="33">
        <v>1</v>
      </c>
      <c r="AW2" s="33">
        <f t="shared" ref="AW2:AW11" si="2">IF(SUMIF($BE$5:$BE$20,$BE$2,$BI$5:$BI$20)&lt;AV2,"-",$BE$2*100+AV2)</f>
        <v>101</v>
      </c>
      <c r="AX2" s="33" t="str">
        <f t="shared" ref="AX2:AX11" si="3">LOOKUP($AW2,$AM:$AM,AO:AO)</f>
        <v>妖精</v>
      </c>
      <c r="AY2" s="33" t="str">
        <f t="shared" ref="AY2:AY11" si="4">IF(ISERROR(AX2),"-",LOOKUP($AW2,$AM:$AM,AP:AP))</f>
        <v>ピクシー</v>
      </c>
      <c r="AZ2" s="33">
        <f t="shared" ref="AZ2:AZ11" si="5">LOOKUP($AW2,$AM:$AM,AQ:AQ)</f>
        <v>75</v>
      </c>
      <c r="BA2" s="34">
        <f t="shared" ref="BA2:BA11" si="6">LOOKUP($AW2,$AM:$AM,AR:AR)</f>
        <v>0.75</v>
      </c>
      <c r="BB2" s="33">
        <f t="shared" ref="BB2:BB11" si="7">LOOKUP($AW2,$AM:$AM,AS:AS)</f>
        <v>6</v>
      </c>
      <c r="BC2" s="33" t="str">
        <f t="shared" ref="BC2:BC11" si="8">IF(ISERROR(BB2),"-",LOOKUP($AW2,$AM:$AM,AT:AT))</f>
        <v>-</v>
      </c>
      <c r="BE2" s="32">
        <v>1</v>
      </c>
      <c r="BF2" s="32" t="str">
        <f>LOOKUP($BE$2,BE5:BE20,BF5:BF20)</f>
        <v>妖精</v>
      </c>
    </row>
    <row r="3" spans="2:61" ht="12" customHeight="1">
      <c r="B3" s="21" t="s">
        <v>5</v>
      </c>
      <c r="C3" s="23"/>
      <c r="D3" s="57">
        <v>150</v>
      </c>
      <c r="F3" s="59" t="s">
        <v>141</v>
      </c>
      <c r="G3" s="60"/>
      <c r="H3" s="59" t="s">
        <v>147</v>
      </c>
      <c r="I3" s="60"/>
      <c r="J3" s="32" t="s">
        <v>150</v>
      </c>
      <c r="AK3">
        <f t="shared" ref="AK3:AK66" si="9">IF(AO3=AO2,AK2,AK2+1)</f>
        <v>1</v>
      </c>
      <c r="AL3">
        <f t="shared" si="0"/>
        <v>2</v>
      </c>
      <c r="AM3" s="30">
        <f t="shared" si="1"/>
        <v>102</v>
      </c>
      <c r="AN3" s="7"/>
      <c r="AO3" s="8" t="s">
        <v>9</v>
      </c>
      <c r="AP3" s="8" t="s">
        <v>27</v>
      </c>
      <c r="AQ3" s="8">
        <v>124</v>
      </c>
      <c r="AR3" s="9">
        <v>1</v>
      </c>
      <c r="AS3" s="125">
        <v>8</v>
      </c>
      <c r="AT3" s="10" t="s">
        <v>183</v>
      </c>
      <c r="AV3" s="35">
        <v>2</v>
      </c>
      <c r="AW3" s="35">
        <f t="shared" si="2"/>
        <v>102</v>
      </c>
      <c r="AX3" s="35" t="str">
        <f t="shared" si="3"/>
        <v>妖精</v>
      </c>
      <c r="AY3" s="35" t="str">
        <f t="shared" si="4"/>
        <v>ジャックフロスト</v>
      </c>
      <c r="AZ3" s="35">
        <f t="shared" si="5"/>
        <v>124</v>
      </c>
      <c r="BA3" s="36">
        <f t="shared" si="6"/>
        <v>1</v>
      </c>
      <c r="BB3" s="35">
        <f t="shared" si="7"/>
        <v>8</v>
      </c>
      <c r="BC3" s="35" t="str">
        <f t="shared" si="8"/>
        <v>-</v>
      </c>
      <c r="BH3">
        <f>SUMIF($BE$5:$BE$20,#REF!,$BH$5:$BH$20)</f>
        <v>0</v>
      </c>
    </row>
    <row r="4" spans="2:61" ht="12" customHeight="1">
      <c r="B4" s="21" t="s">
        <v>188</v>
      </c>
      <c r="C4" s="23"/>
      <c r="D4" s="58">
        <v>0.3</v>
      </c>
      <c r="F4" s="29" t="s">
        <v>142</v>
      </c>
      <c r="G4" s="141">
        <v>0.2</v>
      </c>
      <c r="H4" s="28" t="s">
        <v>9</v>
      </c>
      <c r="I4" s="56">
        <v>0.2</v>
      </c>
      <c r="J4" s="55">
        <f>SUM(I4,G4)</f>
        <v>0.4</v>
      </c>
      <c r="AK4">
        <f t="shared" si="9"/>
        <v>1</v>
      </c>
      <c r="AL4">
        <f t="shared" si="0"/>
        <v>3</v>
      </c>
      <c r="AM4" s="30">
        <f t="shared" si="1"/>
        <v>103</v>
      </c>
      <c r="AN4" s="7"/>
      <c r="AO4" s="8" t="s">
        <v>9</v>
      </c>
      <c r="AP4" s="8" t="s">
        <v>28</v>
      </c>
      <c r="AQ4" s="8">
        <v>154</v>
      </c>
      <c r="AR4" s="9">
        <v>0.75</v>
      </c>
      <c r="AS4" s="125">
        <v>9</v>
      </c>
      <c r="AT4" s="10" t="s">
        <v>183</v>
      </c>
      <c r="AV4" s="35">
        <v>3</v>
      </c>
      <c r="AW4" s="35">
        <f t="shared" si="2"/>
        <v>103</v>
      </c>
      <c r="AX4" s="35" t="str">
        <f t="shared" si="3"/>
        <v>妖精</v>
      </c>
      <c r="AY4" s="35" t="str">
        <f t="shared" si="4"/>
        <v>ハイピクシー</v>
      </c>
      <c r="AZ4" s="35">
        <f t="shared" si="5"/>
        <v>154</v>
      </c>
      <c r="BA4" s="36">
        <f t="shared" si="6"/>
        <v>0.75</v>
      </c>
      <c r="BB4" s="35">
        <f t="shared" si="7"/>
        <v>9</v>
      </c>
      <c r="BC4" s="35" t="str">
        <f t="shared" si="8"/>
        <v>-</v>
      </c>
      <c r="BE4" s="21"/>
      <c r="BF4" s="23"/>
      <c r="BG4" s="32" t="s">
        <v>177</v>
      </c>
      <c r="BH4" s="32" t="s">
        <v>189</v>
      </c>
      <c r="BI4" s="32" t="s">
        <v>176</v>
      </c>
    </row>
    <row r="5" spans="2:61" ht="12" customHeight="1">
      <c r="B5" s="21" t="s">
        <v>174</v>
      </c>
      <c r="C5" s="23"/>
      <c r="D5" s="58">
        <v>0.75</v>
      </c>
      <c r="F5" s="30"/>
      <c r="G5" s="142"/>
      <c r="H5" s="28" t="s">
        <v>46</v>
      </c>
      <c r="I5" s="56">
        <v>0.2</v>
      </c>
      <c r="J5" s="55">
        <f>SUM(I5,G4)</f>
        <v>0.4</v>
      </c>
      <c r="AK5">
        <f t="shared" si="9"/>
        <v>1</v>
      </c>
      <c r="AL5">
        <f t="shared" si="0"/>
        <v>4</v>
      </c>
      <c r="AM5" s="30">
        <f t="shared" si="1"/>
        <v>104</v>
      </c>
      <c r="AN5" s="7"/>
      <c r="AO5" s="8" t="s">
        <v>9</v>
      </c>
      <c r="AP5" s="8" t="s">
        <v>29</v>
      </c>
      <c r="AQ5" s="8">
        <v>149</v>
      </c>
      <c r="AR5" s="9">
        <v>0.85</v>
      </c>
      <c r="AS5" s="125">
        <v>12</v>
      </c>
      <c r="AT5" s="10" t="s">
        <v>183</v>
      </c>
      <c r="AV5" s="35">
        <v>4</v>
      </c>
      <c r="AW5" s="35">
        <f t="shared" si="2"/>
        <v>104</v>
      </c>
      <c r="AX5" s="35" t="str">
        <f t="shared" si="3"/>
        <v>妖精</v>
      </c>
      <c r="AY5" s="35" t="str">
        <f t="shared" si="4"/>
        <v>ジャックランタン</v>
      </c>
      <c r="AZ5" s="35">
        <f t="shared" si="5"/>
        <v>149</v>
      </c>
      <c r="BA5" s="36">
        <f t="shared" si="6"/>
        <v>0.85</v>
      </c>
      <c r="BB5" s="35">
        <f t="shared" si="7"/>
        <v>12</v>
      </c>
      <c r="BC5" s="35" t="str">
        <f t="shared" si="8"/>
        <v>-</v>
      </c>
      <c r="BE5" s="33">
        <v>1</v>
      </c>
      <c r="BF5" s="33" t="s">
        <v>9</v>
      </c>
      <c r="BG5" s="103">
        <v>10</v>
      </c>
      <c r="BH5" s="103"/>
      <c r="BI5" s="103">
        <f t="shared" ref="BI5:BI20" si="10">BG5+BH5</f>
        <v>10</v>
      </c>
    </row>
    <row r="6" spans="2:61" ht="12" customHeight="1">
      <c r="B6" s="21" t="s">
        <v>175</v>
      </c>
      <c r="C6" s="23"/>
      <c r="D6" s="58">
        <v>0.4</v>
      </c>
      <c r="F6" s="31"/>
      <c r="G6" s="143"/>
      <c r="H6" s="28" t="s">
        <v>123</v>
      </c>
      <c r="I6" s="56">
        <v>0.2</v>
      </c>
      <c r="J6" s="55">
        <f>SUM(I6,G4)</f>
        <v>0.4</v>
      </c>
      <c r="AK6">
        <f t="shared" si="9"/>
        <v>1</v>
      </c>
      <c r="AL6">
        <f t="shared" si="0"/>
        <v>5</v>
      </c>
      <c r="AM6" s="30">
        <f t="shared" si="1"/>
        <v>105</v>
      </c>
      <c r="AN6" s="7"/>
      <c r="AO6" s="8" t="s">
        <v>9</v>
      </c>
      <c r="AP6" s="8" t="s">
        <v>11</v>
      </c>
      <c r="AQ6" s="8">
        <v>215</v>
      </c>
      <c r="AR6" s="9">
        <v>0.75</v>
      </c>
      <c r="AS6" s="125">
        <v>4</v>
      </c>
      <c r="AT6" s="10" t="s">
        <v>183</v>
      </c>
      <c r="AV6" s="35">
        <v>5</v>
      </c>
      <c r="AW6" s="35">
        <f t="shared" si="2"/>
        <v>105</v>
      </c>
      <c r="AX6" s="35" t="str">
        <f t="shared" si="3"/>
        <v>妖精</v>
      </c>
      <c r="AY6" s="35" t="str">
        <f t="shared" si="4"/>
        <v>ガンダルヴァ</v>
      </c>
      <c r="AZ6" s="35">
        <f t="shared" si="5"/>
        <v>215</v>
      </c>
      <c r="BA6" s="36">
        <f t="shared" si="6"/>
        <v>0.75</v>
      </c>
      <c r="BB6" s="35">
        <f t="shared" si="7"/>
        <v>4</v>
      </c>
      <c r="BC6" s="35" t="str">
        <f t="shared" si="8"/>
        <v>-</v>
      </c>
      <c r="BE6" s="35">
        <v>2</v>
      </c>
      <c r="BF6" s="35" t="s">
        <v>17</v>
      </c>
      <c r="BG6" s="104">
        <v>8</v>
      </c>
      <c r="BH6" s="104"/>
      <c r="BI6" s="104">
        <f t="shared" si="10"/>
        <v>8</v>
      </c>
    </row>
    <row r="7" spans="2:61" ht="12" customHeight="1">
      <c r="F7" s="29" t="s">
        <v>146</v>
      </c>
      <c r="G7" s="141">
        <v>0.2</v>
      </c>
      <c r="H7" s="28" t="s">
        <v>38</v>
      </c>
      <c r="I7" s="56">
        <v>0.2</v>
      </c>
      <c r="J7" s="55">
        <f>SUM(I7,G7)</f>
        <v>0.4</v>
      </c>
      <c r="AK7">
        <f t="shared" si="9"/>
        <v>1</v>
      </c>
      <c r="AL7">
        <f t="shared" si="0"/>
        <v>6</v>
      </c>
      <c r="AM7" s="30">
        <f t="shared" si="1"/>
        <v>106</v>
      </c>
      <c r="AN7" s="7"/>
      <c r="AO7" s="8" t="s">
        <v>9</v>
      </c>
      <c r="AP7" s="8" t="s">
        <v>12</v>
      </c>
      <c r="AQ7" s="8">
        <v>194</v>
      </c>
      <c r="AR7" s="9">
        <v>0.75</v>
      </c>
      <c r="AS7" s="125">
        <v>7</v>
      </c>
      <c r="AT7" s="10" t="s">
        <v>183</v>
      </c>
      <c r="AV7" s="35">
        <v>6</v>
      </c>
      <c r="AW7" s="35">
        <f t="shared" si="2"/>
        <v>106</v>
      </c>
      <c r="AX7" s="35" t="str">
        <f t="shared" si="3"/>
        <v>妖精</v>
      </c>
      <c r="AY7" s="35" t="str">
        <f t="shared" si="4"/>
        <v>ケルピー</v>
      </c>
      <c r="AZ7" s="35">
        <f t="shared" si="5"/>
        <v>194</v>
      </c>
      <c r="BA7" s="36">
        <f t="shared" si="6"/>
        <v>0.75</v>
      </c>
      <c r="BB7" s="35">
        <f t="shared" si="7"/>
        <v>7</v>
      </c>
      <c r="BC7" s="35" t="str">
        <f t="shared" si="8"/>
        <v>-</v>
      </c>
      <c r="BE7" s="35">
        <v>3</v>
      </c>
      <c r="BF7" s="35" t="s">
        <v>30</v>
      </c>
      <c r="BG7" s="104">
        <v>7</v>
      </c>
      <c r="BH7" s="104">
        <v>-1</v>
      </c>
      <c r="BI7" s="104">
        <f t="shared" si="10"/>
        <v>6</v>
      </c>
    </row>
    <row r="8" spans="2:61" ht="12" customHeight="1">
      <c r="F8" s="30"/>
      <c r="G8" s="142"/>
      <c r="H8" s="28" t="s">
        <v>30</v>
      </c>
      <c r="I8" s="56">
        <v>0.2</v>
      </c>
      <c r="J8" s="55">
        <f>SUM(I8,G7)</f>
        <v>0.4</v>
      </c>
      <c r="AK8">
        <f t="shared" si="9"/>
        <v>1</v>
      </c>
      <c r="AL8">
        <f t="shared" si="0"/>
        <v>7</v>
      </c>
      <c r="AM8" s="30">
        <f t="shared" si="1"/>
        <v>107</v>
      </c>
      <c r="AN8" s="7"/>
      <c r="AO8" s="8" t="s">
        <v>9</v>
      </c>
      <c r="AP8" s="8" t="s">
        <v>13</v>
      </c>
      <c r="AQ8" s="8">
        <v>285</v>
      </c>
      <c r="AR8" s="9">
        <v>0.75</v>
      </c>
      <c r="AS8" s="125">
        <v>11</v>
      </c>
      <c r="AT8" s="10" t="s">
        <v>183</v>
      </c>
      <c r="AV8" s="35">
        <v>7</v>
      </c>
      <c r="AW8" s="35">
        <f t="shared" si="2"/>
        <v>107</v>
      </c>
      <c r="AX8" s="35" t="str">
        <f t="shared" si="3"/>
        <v>妖精</v>
      </c>
      <c r="AY8" s="35" t="str">
        <f t="shared" si="4"/>
        <v>エルフ</v>
      </c>
      <c r="AZ8" s="35">
        <f t="shared" si="5"/>
        <v>285</v>
      </c>
      <c r="BA8" s="36">
        <f t="shared" si="6"/>
        <v>0.75</v>
      </c>
      <c r="BB8" s="35">
        <f t="shared" si="7"/>
        <v>11</v>
      </c>
      <c r="BC8" s="35" t="str">
        <f t="shared" si="8"/>
        <v>-</v>
      </c>
      <c r="BE8" s="35">
        <v>4</v>
      </c>
      <c r="BF8" s="35" t="s">
        <v>38</v>
      </c>
      <c r="BG8" s="104">
        <v>7</v>
      </c>
      <c r="BH8" s="104"/>
      <c r="BI8" s="104">
        <f t="shared" si="10"/>
        <v>7</v>
      </c>
    </row>
    <row r="9" spans="2:61" ht="12" customHeight="1">
      <c r="B9" s="21" t="s">
        <v>213</v>
      </c>
      <c r="C9" s="22"/>
      <c r="D9" s="23"/>
      <c r="F9" s="31"/>
      <c r="G9" s="143"/>
      <c r="H9" s="28" t="s">
        <v>61</v>
      </c>
      <c r="I9" s="56">
        <v>0.2</v>
      </c>
      <c r="J9" s="55">
        <f>SUM(I9,G7)</f>
        <v>0.4</v>
      </c>
      <c r="AK9">
        <f t="shared" si="9"/>
        <v>1</v>
      </c>
      <c r="AL9">
        <f t="shared" si="0"/>
        <v>8</v>
      </c>
      <c r="AM9" s="30">
        <f t="shared" si="1"/>
        <v>108</v>
      </c>
      <c r="AN9" s="7"/>
      <c r="AO9" s="8" t="s">
        <v>9</v>
      </c>
      <c r="AP9" s="8" t="s">
        <v>14</v>
      </c>
      <c r="AQ9" s="8">
        <v>368</v>
      </c>
      <c r="AR9" s="9">
        <v>1</v>
      </c>
      <c r="AS9" s="125">
        <v>10</v>
      </c>
      <c r="AT9" s="10" t="s">
        <v>183</v>
      </c>
      <c r="AV9" s="35">
        <v>8</v>
      </c>
      <c r="AW9" s="35">
        <f t="shared" si="2"/>
        <v>108</v>
      </c>
      <c r="AX9" s="35" t="str">
        <f t="shared" si="3"/>
        <v>妖精</v>
      </c>
      <c r="AY9" s="35" t="str">
        <f t="shared" si="4"/>
        <v>トロール</v>
      </c>
      <c r="AZ9" s="35">
        <f t="shared" si="5"/>
        <v>368</v>
      </c>
      <c r="BA9" s="36">
        <f t="shared" si="6"/>
        <v>1</v>
      </c>
      <c r="BB9" s="35">
        <f t="shared" si="7"/>
        <v>10</v>
      </c>
      <c r="BC9" s="35" t="str">
        <f t="shared" si="8"/>
        <v>-</v>
      </c>
      <c r="BE9" s="35">
        <v>5</v>
      </c>
      <c r="BF9" s="35" t="s">
        <v>53</v>
      </c>
      <c r="BG9" s="104">
        <v>7</v>
      </c>
      <c r="BH9" s="104">
        <v>-1</v>
      </c>
      <c r="BI9" s="104">
        <f t="shared" si="10"/>
        <v>6</v>
      </c>
    </row>
    <row r="10" spans="2:61" ht="12" customHeight="1">
      <c r="B10" s="130">
        <v>1</v>
      </c>
      <c r="C10" s="131"/>
      <c r="D10" s="132"/>
      <c r="F10" s="29" t="s">
        <v>151</v>
      </c>
      <c r="G10" s="141">
        <v>0.2</v>
      </c>
      <c r="H10" s="28" t="s">
        <v>17</v>
      </c>
      <c r="I10" s="56">
        <v>0.2</v>
      </c>
      <c r="J10" s="55">
        <f>SUM(I10,G10)</f>
        <v>0.4</v>
      </c>
      <c r="AK10">
        <f t="shared" si="9"/>
        <v>1</v>
      </c>
      <c r="AL10">
        <f t="shared" si="0"/>
        <v>9</v>
      </c>
      <c r="AM10" s="30">
        <f t="shared" si="1"/>
        <v>109</v>
      </c>
      <c r="AN10" s="7"/>
      <c r="AO10" s="8" t="s">
        <v>9</v>
      </c>
      <c r="AP10" s="8" t="s">
        <v>15</v>
      </c>
      <c r="AQ10" s="8">
        <v>462</v>
      </c>
      <c r="AR10" s="9">
        <v>0.75</v>
      </c>
      <c r="AS10" s="125">
        <v>15</v>
      </c>
      <c r="AT10" s="10" t="s">
        <v>183</v>
      </c>
      <c r="AV10" s="35">
        <v>9</v>
      </c>
      <c r="AW10" s="35">
        <f t="shared" si="2"/>
        <v>109</v>
      </c>
      <c r="AX10" s="35" t="str">
        <f t="shared" si="3"/>
        <v>妖精</v>
      </c>
      <c r="AY10" s="35" t="str">
        <f t="shared" si="4"/>
        <v>オベロン</v>
      </c>
      <c r="AZ10" s="35">
        <f t="shared" si="5"/>
        <v>462</v>
      </c>
      <c r="BA10" s="36">
        <f t="shared" si="6"/>
        <v>0.75</v>
      </c>
      <c r="BB10" s="35">
        <f t="shared" si="7"/>
        <v>15</v>
      </c>
      <c r="BC10" s="35" t="str">
        <f t="shared" si="8"/>
        <v>-</v>
      </c>
      <c r="BE10" s="35">
        <v>6</v>
      </c>
      <c r="BF10" s="35" t="s">
        <v>121</v>
      </c>
      <c r="BG10" s="104">
        <v>7</v>
      </c>
      <c r="BH10" s="104">
        <v>-2</v>
      </c>
      <c r="BI10" s="104">
        <f t="shared" si="10"/>
        <v>5</v>
      </c>
    </row>
    <row r="11" spans="2:61" ht="12" customHeight="1">
      <c r="F11" s="30"/>
      <c r="G11" s="142"/>
      <c r="H11" s="28" t="s">
        <v>75</v>
      </c>
      <c r="I11" s="56">
        <v>0.2</v>
      </c>
      <c r="J11" s="55">
        <f>SUM(I11,G10)</f>
        <v>0.4</v>
      </c>
      <c r="AK11">
        <f t="shared" si="9"/>
        <v>1</v>
      </c>
      <c r="AL11">
        <f t="shared" si="0"/>
        <v>10</v>
      </c>
      <c r="AM11" s="31">
        <f t="shared" si="1"/>
        <v>110</v>
      </c>
      <c r="AN11" s="11"/>
      <c r="AO11" s="12" t="s">
        <v>9</v>
      </c>
      <c r="AP11" s="12" t="s">
        <v>26</v>
      </c>
      <c r="AQ11" s="12">
        <v>459</v>
      </c>
      <c r="AR11" s="13">
        <v>0.75</v>
      </c>
      <c r="AS11" s="126">
        <v>21</v>
      </c>
      <c r="AT11" s="14" t="s">
        <v>183</v>
      </c>
      <c r="AV11" s="37">
        <v>10</v>
      </c>
      <c r="AW11" s="37">
        <f t="shared" si="2"/>
        <v>110</v>
      </c>
      <c r="AX11" s="37" t="str">
        <f t="shared" si="3"/>
        <v>妖精</v>
      </c>
      <c r="AY11" s="37" t="str">
        <f t="shared" si="4"/>
        <v>ティターニア</v>
      </c>
      <c r="AZ11" s="37">
        <f t="shared" si="5"/>
        <v>459</v>
      </c>
      <c r="BA11" s="38">
        <f t="shared" si="6"/>
        <v>0.75</v>
      </c>
      <c r="BB11" s="37">
        <f t="shared" si="7"/>
        <v>21</v>
      </c>
      <c r="BC11" s="37" t="str">
        <f t="shared" si="8"/>
        <v>-</v>
      </c>
      <c r="BE11" s="35">
        <v>7</v>
      </c>
      <c r="BF11" s="35" t="s">
        <v>61</v>
      </c>
      <c r="BG11" s="104">
        <v>5</v>
      </c>
      <c r="BH11" s="104"/>
      <c r="BI11" s="104">
        <f t="shared" si="10"/>
        <v>5</v>
      </c>
    </row>
    <row r="12" spans="2:61">
      <c r="F12" s="31"/>
      <c r="G12" s="143"/>
      <c r="H12" s="28" t="s">
        <v>67</v>
      </c>
      <c r="I12" s="56">
        <v>0.2</v>
      </c>
      <c r="J12" s="55">
        <f>SUM(I12,G10)</f>
        <v>0.4</v>
      </c>
      <c r="AK12">
        <f t="shared" si="9"/>
        <v>2</v>
      </c>
      <c r="AL12">
        <f t="shared" si="0"/>
        <v>1</v>
      </c>
      <c r="AM12" s="29">
        <f t="shared" si="1"/>
        <v>201</v>
      </c>
      <c r="AN12" s="3"/>
      <c r="AO12" s="4" t="s">
        <v>17</v>
      </c>
      <c r="AP12" s="4" t="s">
        <v>18</v>
      </c>
      <c r="AQ12" s="4">
        <v>120</v>
      </c>
      <c r="AR12" s="5">
        <v>0.75</v>
      </c>
      <c r="AS12" s="124">
        <v>9</v>
      </c>
      <c r="AT12" s="6" t="s">
        <v>183</v>
      </c>
      <c r="BE12" s="35">
        <v>8</v>
      </c>
      <c r="BF12" s="35" t="s">
        <v>46</v>
      </c>
      <c r="BG12" s="104">
        <v>8</v>
      </c>
      <c r="BH12" s="104">
        <v>-2</v>
      </c>
      <c r="BI12" s="104">
        <f t="shared" si="10"/>
        <v>6</v>
      </c>
    </row>
    <row r="13" spans="2:61">
      <c r="F13" s="29" t="s">
        <v>143</v>
      </c>
      <c r="G13" s="141">
        <v>0.2</v>
      </c>
      <c r="H13" s="28" t="s">
        <v>71</v>
      </c>
      <c r="I13" s="56">
        <v>0.2</v>
      </c>
      <c r="J13" s="55">
        <f>SUM(I13,G13)</f>
        <v>0.4</v>
      </c>
      <c r="AK13">
        <f t="shared" si="9"/>
        <v>2</v>
      </c>
      <c r="AL13">
        <f t="shared" si="0"/>
        <v>2</v>
      </c>
      <c r="AM13" s="30">
        <f t="shared" si="1"/>
        <v>202</v>
      </c>
      <c r="AN13" s="7"/>
      <c r="AO13" s="8" t="s">
        <v>17</v>
      </c>
      <c r="AP13" s="8" t="s">
        <v>19</v>
      </c>
      <c r="AQ13" s="8">
        <v>130</v>
      </c>
      <c r="AR13" s="9">
        <v>0.5</v>
      </c>
      <c r="AS13" s="125">
        <v>12</v>
      </c>
      <c r="AT13" s="10" t="s">
        <v>183</v>
      </c>
      <c r="BE13" s="35">
        <v>9</v>
      </c>
      <c r="BF13" s="35" t="s">
        <v>75</v>
      </c>
      <c r="BG13" s="104">
        <v>13</v>
      </c>
      <c r="BH13" s="104">
        <v>-7</v>
      </c>
      <c r="BI13" s="104">
        <f t="shared" si="10"/>
        <v>6</v>
      </c>
    </row>
    <row r="14" spans="2:61">
      <c r="F14" s="31"/>
      <c r="G14" s="143"/>
      <c r="H14" s="28" t="s">
        <v>119</v>
      </c>
      <c r="I14" s="56">
        <v>0.2</v>
      </c>
      <c r="J14" s="55">
        <f>SUM(I14,G13)</f>
        <v>0.4</v>
      </c>
      <c r="AK14">
        <f t="shared" si="9"/>
        <v>2</v>
      </c>
      <c r="AL14">
        <f t="shared" si="0"/>
        <v>3</v>
      </c>
      <c r="AM14" s="30">
        <f t="shared" si="1"/>
        <v>203</v>
      </c>
      <c r="AN14" s="7"/>
      <c r="AO14" s="8" t="s">
        <v>17</v>
      </c>
      <c r="AP14" s="8" t="s">
        <v>20</v>
      </c>
      <c r="AQ14" s="8">
        <v>149</v>
      </c>
      <c r="AR14" s="9">
        <v>0.75</v>
      </c>
      <c r="AS14" s="125">
        <v>6</v>
      </c>
      <c r="AT14" s="10" t="s">
        <v>183</v>
      </c>
      <c r="AV14" s="33">
        <v>1</v>
      </c>
      <c r="AW14" s="33" t="str">
        <f t="shared" ref="AW14:AW20" si="11">IF(ABS(BH$3)&lt;AV14,"-",MAX($AW$2:$AW$11)+AV14)</f>
        <v>-</v>
      </c>
      <c r="AX14" s="33" t="e">
        <f t="shared" ref="AX14:AX20" si="12">LOOKUP($AW14,$AM:$AM,AO:AO)</f>
        <v>#N/A</v>
      </c>
      <c r="AY14" s="33" t="str">
        <f t="shared" ref="AY14:BC20" si="13">IF(ISERROR(AX14),"-",LOOKUP($AW14,$AM:$AM,AP:AP))</f>
        <v>-</v>
      </c>
      <c r="AZ14" s="33" t="e">
        <f t="shared" si="13"/>
        <v>#N/A</v>
      </c>
      <c r="BA14" s="34" t="str">
        <f t="shared" si="13"/>
        <v>-</v>
      </c>
      <c r="BB14" s="33" t="e">
        <f t="shared" si="13"/>
        <v>#N/A</v>
      </c>
      <c r="BC14" s="33" t="str">
        <f t="shared" si="13"/>
        <v>-</v>
      </c>
      <c r="BE14" s="35">
        <v>10</v>
      </c>
      <c r="BF14" s="35" t="s">
        <v>120</v>
      </c>
      <c r="BG14" s="104">
        <v>7</v>
      </c>
      <c r="BH14" s="104">
        <v>-1</v>
      </c>
      <c r="BI14" s="104">
        <f t="shared" si="10"/>
        <v>6</v>
      </c>
    </row>
    <row r="15" spans="2:61">
      <c r="F15" s="29" t="s">
        <v>149</v>
      </c>
      <c r="G15" s="141">
        <v>0.2</v>
      </c>
      <c r="H15" s="28" t="s">
        <v>120</v>
      </c>
      <c r="I15" s="56">
        <v>0.2</v>
      </c>
      <c r="J15" s="55">
        <f>SUM(I15,G15)</f>
        <v>0.4</v>
      </c>
      <c r="AK15">
        <f t="shared" si="9"/>
        <v>2</v>
      </c>
      <c r="AL15">
        <f t="shared" si="0"/>
        <v>4</v>
      </c>
      <c r="AM15" s="30">
        <f t="shared" si="1"/>
        <v>204</v>
      </c>
      <c r="AN15" s="7"/>
      <c r="AO15" s="8" t="s">
        <v>17</v>
      </c>
      <c r="AP15" s="8" t="s">
        <v>21</v>
      </c>
      <c r="AQ15" s="8">
        <v>165</v>
      </c>
      <c r="AR15" s="9">
        <v>0.75</v>
      </c>
      <c r="AS15" s="125">
        <v>10</v>
      </c>
      <c r="AT15" s="10" t="s">
        <v>183</v>
      </c>
      <c r="AV15" s="35">
        <v>2</v>
      </c>
      <c r="AW15" s="35" t="str">
        <f t="shared" si="11"/>
        <v>-</v>
      </c>
      <c r="AX15" s="35" t="e">
        <f t="shared" si="12"/>
        <v>#N/A</v>
      </c>
      <c r="AY15" s="35" t="str">
        <f t="shared" si="13"/>
        <v>-</v>
      </c>
      <c r="AZ15" s="35" t="e">
        <f t="shared" si="13"/>
        <v>#N/A</v>
      </c>
      <c r="BA15" s="36" t="str">
        <f t="shared" si="13"/>
        <v>-</v>
      </c>
      <c r="BB15" s="35" t="e">
        <f t="shared" si="13"/>
        <v>#N/A</v>
      </c>
      <c r="BC15" s="35" t="str">
        <f t="shared" si="13"/>
        <v>-</v>
      </c>
      <c r="BE15" s="35">
        <v>11</v>
      </c>
      <c r="BF15" s="35" t="s">
        <v>67</v>
      </c>
      <c r="BG15" s="104">
        <v>6</v>
      </c>
      <c r="BH15" s="104">
        <v>-1</v>
      </c>
      <c r="BI15" s="104">
        <f t="shared" si="10"/>
        <v>5</v>
      </c>
    </row>
    <row r="16" spans="2:61">
      <c r="F16" s="31"/>
      <c r="G16" s="143"/>
      <c r="H16" s="28" t="s">
        <v>124</v>
      </c>
      <c r="I16" s="56">
        <v>0.2</v>
      </c>
      <c r="J16" s="55">
        <f>SUM(I16,G15)</f>
        <v>0.4</v>
      </c>
      <c r="AK16">
        <f t="shared" si="9"/>
        <v>2</v>
      </c>
      <c r="AL16">
        <f t="shared" si="0"/>
        <v>5</v>
      </c>
      <c r="AM16" s="30">
        <f t="shared" si="1"/>
        <v>205</v>
      </c>
      <c r="AN16" s="7"/>
      <c r="AO16" s="8" t="s">
        <v>17</v>
      </c>
      <c r="AP16" s="8" t="s">
        <v>22</v>
      </c>
      <c r="AQ16" s="8">
        <v>210</v>
      </c>
      <c r="AR16" s="9">
        <v>0.75</v>
      </c>
      <c r="AS16" s="125">
        <v>7</v>
      </c>
      <c r="AT16" s="10" t="s">
        <v>183</v>
      </c>
      <c r="AV16" s="35">
        <v>3</v>
      </c>
      <c r="AW16" s="35" t="str">
        <f t="shared" si="11"/>
        <v>-</v>
      </c>
      <c r="AX16" s="35" t="e">
        <f t="shared" si="12"/>
        <v>#N/A</v>
      </c>
      <c r="AY16" s="35" t="str">
        <f t="shared" si="13"/>
        <v>-</v>
      </c>
      <c r="AZ16" s="35" t="e">
        <f t="shared" si="13"/>
        <v>#N/A</v>
      </c>
      <c r="BA16" s="36" t="str">
        <f t="shared" si="13"/>
        <v>-</v>
      </c>
      <c r="BB16" s="35" t="e">
        <f t="shared" si="13"/>
        <v>#N/A</v>
      </c>
      <c r="BC16" s="35" t="str">
        <f t="shared" si="13"/>
        <v>-</v>
      </c>
      <c r="BE16" s="35">
        <v>12</v>
      </c>
      <c r="BF16" s="35" t="s">
        <v>71</v>
      </c>
      <c r="BG16" s="104">
        <v>3</v>
      </c>
      <c r="BH16" s="104"/>
      <c r="BI16" s="104">
        <f t="shared" si="10"/>
        <v>3</v>
      </c>
    </row>
    <row r="17" spans="1:61">
      <c r="F17" s="28" t="s">
        <v>145</v>
      </c>
      <c r="G17" s="56">
        <v>0.2</v>
      </c>
      <c r="H17" s="28" t="s">
        <v>53</v>
      </c>
      <c r="I17" s="56">
        <v>0.2</v>
      </c>
      <c r="J17" s="55">
        <f>SUM(I17,G17)</f>
        <v>0.4</v>
      </c>
      <c r="AK17">
        <f t="shared" si="9"/>
        <v>2</v>
      </c>
      <c r="AL17">
        <f t="shared" si="0"/>
        <v>6</v>
      </c>
      <c r="AM17" s="30">
        <f t="shared" si="1"/>
        <v>206</v>
      </c>
      <c r="AN17" s="7"/>
      <c r="AO17" s="8" t="s">
        <v>17</v>
      </c>
      <c r="AP17" s="8" t="s">
        <v>23</v>
      </c>
      <c r="AQ17" s="8">
        <v>255</v>
      </c>
      <c r="AR17" s="9">
        <v>0.75</v>
      </c>
      <c r="AS17" s="125">
        <v>5</v>
      </c>
      <c r="AT17" s="10" t="s">
        <v>183</v>
      </c>
      <c r="AV17" s="35">
        <v>4</v>
      </c>
      <c r="AW17" s="35" t="str">
        <f t="shared" si="11"/>
        <v>-</v>
      </c>
      <c r="AX17" s="35" t="e">
        <f t="shared" si="12"/>
        <v>#N/A</v>
      </c>
      <c r="AY17" s="35" t="str">
        <f t="shared" si="13"/>
        <v>-</v>
      </c>
      <c r="AZ17" s="35" t="e">
        <f t="shared" si="13"/>
        <v>#N/A</v>
      </c>
      <c r="BA17" s="36" t="str">
        <f t="shared" si="13"/>
        <v>-</v>
      </c>
      <c r="BB17" s="35" t="e">
        <f t="shared" si="13"/>
        <v>#N/A</v>
      </c>
      <c r="BC17" s="35" t="str">
        <f t="shared" si="13"/>
        <v>-</v>
      </c>
      <c r="BE17" s="35">
        <v>13</v>
      </c>
      <c r="BF17" s="35" t="s">
        <v>119</v>
      </c>
      <c r="BG17" s="104">
        <v>7</v>
      </c>
      <c r="BH17" s="104">
        <v>-1</v>
      </c>
      <c r="BI17" s="104">
        <f t="shared" si="10"/>
        <v>6</v>
      </c>
    </row>
    <row r="18" spans="1:61">
      <c r="F18" s="28" t="s">
        <v>148</v>
      </c>
      <c r="G18" s="56">
        <v>0.2</v>
      </c>
      <c r="H18" s="28" t="s">
        <v>121</v>
      </c>
      <c r="I18" s="56">
        <v>0.2</v>
      </c>
      <c r="J18" s="55">
        <f>SUM(I18,G18)</f>
        <v>0.4</v>
      </c>
      <c r="AK18">
        <f t="shared" si="9"/>
        <v>2</v>
      </c>
      <c r="AL18">
        <f t="shared" si="0"/>
        <v>7</v>
      </c>
      <c r="AM18" s="30">
        <f t="shared" si="1"/>
        <v>207</v>
      </c>
      <c r="AN18" s="7"/>
      <c r="AO18" s="8" t="s">
        <v>17</v>
      </c>
      <c r="AP18" s="8" t="s">
        <v>24</v>
      </c>
      <c r="AQ18" s="8">
        <v>540</v>
      </c>
      <c r="AR18" s="9">
        <v>2</v>
      </c>
      <c r="AS18" s="125">
        <v>11</v>
      </c>
      <c r="AT18" s="10" t="s">
        <v>183</v>
      </c>
      <c r="AV18" s="35">
        <v>5</v>
      </c>
      <c r="AW18" s="35" t="str">
        <f t="shared" si="11"/>
        <v>-</v>
      </c>
      <c r="AX18" s="35" t="e">
        <f t="shared" si="12"/>
        <v>#N/A</v>
      </c>
      <c r="AY18" s="35" t="str">
        <f t="shared" si="13"/>
        <v>-</v>
      </c>
      <c r="AZ18" s="35" t="e">
        <f t="shared" si="13"/>
        <v>#N/A</v>
      </c>
      <c r="BA18" s="36" t="str">
        <f t="shared" si="13"/>
        <v>-</v>
      </c>
      <c r="BB18" s="35" t="e">
        <f t="shared" si="13"/>
        <v>#N/A</v>
      </c>
      <c r="BC18" s="35" t="str">
        <f t="shared" si="13"/>
        <v>-</v>
      </c>
      <c r="BE18" s="35">
        <v>14</v>
      </c>
      <c r="BF18" s="35" t="s">
        <v>122</v>
      </c>
      <c r="BG18" s="104">
        <v>4</v>
      </c>
      <c r="BH18" s="104">
        <v>-2</v>
      </c>
      <c r="BI18" s="104">
        <f t="shared" si="10"/>
        <v>2</v>
      </c>
    </row>
    <row r="19" spans="1:61">
      <c r="F19" s="28" t="s">
        <v>144</v>
      </c>
      <c r="G19" s="56">
        <v>0.2</v>
      </c>
      <c r="H19" s="28" t="s">
        <v>122</v>
      </c>
      <c r="I19" s="56">
        <v>0.2</v>
      </c>
      <c r="J19" s="55">
        <f>SUM(I19,G19)</f>
        <v>0.4</v>
      </c>
      <c r="AK19">
        <f t="shared" si="9"/>
        <v>2</v>
      </c>
      <c r="AL19">
        <f t="shared" si="0"/>
        <v>8</v>
      </c>
      <c r="AM19" s="31">
        <f t="shared" si="1"/>
        <v>208</v>
      </c>
      <c r="AN19" s="11"/>
      <c r="AO19" s="12" t="s">
        <v>17</v>
      </c>
      <c r="AP19" s="12" t="s">
        <v>25</v>
      </c>
      <c r="AQ19" s="12">
        <v>916</v>
      </c>
      <c r="AR19" s="13">
        <v>2</v>
      </c>
      <c r="AS19" s="126">
        <v>15</v>
      </c>
      <c r="AT19" s="14" t="s">
        <v>183</v>
      </c>
      <c r="AV19" s="35">
        <v>6</v>
      </c>
      <c r="AW19" s="35" t="str">
        <f t="shared" si="11"/>
        <v>-</v>
      </c>
      <c r="AX19" s="35" t="e">
        <f t="shared" si="12"/>
        <v>#N/A</v>
      </c>
      <c r="AY19" s="35" t="str">
        <f t="shared" si="13"/>
        <v>-</v>
      </c>
      <c r="AZ19" s="35" t="e">
        <f t="shared" si="13"/>
        <v>#N/A</v>
      </c>
      <c r="BA19" s="36" t="str">
        <f t="shared" si="13"/>
        <v>-</v>
      </c>
      <c r="BB19" s="35" t="e">
        <f t="shared" si="13"/>
        <v>#N/A</v>
      </c>
      <c r="BC19" s="35" t="str">
        <f t="shared" si="13"/>
        <v>-</v>
      </c>
      <c r="BE19" s="35">
        <v>15</v>
      </c>
      <c r="BF19" s="35" t="s">
        <v>123</v>
      </c>
      <c r="BG19" s="104">
        <v>5</v>
      </c>
      <c r="BH19" s="104"/>
      <c r="BI19" s="104">
        <f t="shared" si="10"/>
        <v>5</v>
      </c>
    </row>
    <row r="20" spans="1:61">
      <c r="AK20">
        <f t="shared" si="9"/>
        <v>3</v>
      </c>
      <c r="AL20">
        <f t="shared" si="0"/>
        <v>1</v>
      </c>
      <c r="AM20" s="29">
        <f t="shared" si="1"/>
        <v>301</v>
      </c>
      <c r="AN20" s="3"/>
      <c r="AO20" s="4" t="s">
        <v>30</v>
      </c>
      <c r="AP20" s="4" t="s">
        <v>31</v>
      </c>
      <c r="AQ20" s="4">
        <v>180</v>
      </c>
      <c r="AR20" s="5">
        <v>1</v>
      </c>
      <c r="AS20" s="124">
        <v>1</v>
      </c>
      <c r="AT20" s="6" t="s">
        <v>183</v>
      </c>
      <c r="AV20" s="37">
        <v>7</v>
      </c>
      <c r="AW20" s="37" t="str">
        <f t="shared" si="11"/>
        <v>-</v>
      </c>
      <c r="AX20" s="37" t="e">
        <f t="shared" si="12"/>
        <v>#N/A</v>
      </c>
      <c r="AY20" s="37" t="str">
        <f t="shared" si="13"/>
        <v>-</v>
      </c>
      <c r="AZ20" s="37" t="e">
        <f t="shared" si="13"/>
        <v>#N/A</v>
      </c>
      <c r="BA20" s="38" t="str">
        <f t="shared" si="13"/>
        <v>-</v>
      </c>
      <c r="BB20" s="37" t="e">
        <f t="shared" si="13"/>
        <v>#N/A</v>
      </c>
      <c r="BC20" s="37" t="str">
        <f t="shared" si="13"/>
        <v>-</v>
      </c>
      <c r="BE20" s="37">
        <v>16</v>
      </c>
      <c r="BF20" s="37" t="s">
        <v>124</v>
      </c>
      <c r="BG20" s="105">
        <v>4</v>
      </c>
      <c r="BH20" s="105">
        <v>-1</v>
      </c>
      <c r="BI20" s="105">
        <f t="shared" si="10"/>
        <v>3</v>
      </c>
    </row>
    <row r="21" spans="1:61">
      <c r="AK21">
        <f t="shared" si="9"/>
        <v>3</v>
      </c>
      <c r="AL21">
        <f t="shared" si="0"/>
        <v>2</v>
      </c>
      <c r="AM21" s="30">
        <f t="shared" si="1"/>
        <v>302</v>
      </c>
      <c r="AN21" s="7"/>
      <c r="AO21" s="8" t="s">
        <v>30</v>
      </c>
      <c r="AP21" s="8" t="s">
        <v>32</v>
      </c>
      <c r="AQ21" s="8">
        <v>232</v>
      </c>
      <c r="AR21" s="9">
        <v>0.65</v>
      </c>
      <c r="AS21" s="125">
        <v>4</v>
      </c>
      <c r="AT21" s="10" t="s">
        <v>183</v>
      </c>
    </row>
    <row r="22" spans="1:61">
      <c r="AK22">
        <f t="shared" si="9"/>
        <v>3</v>
      </c>
      <c r="AL22">
        <f t="shared" si="0"/>
        <v>3</v>
      </c>
      <c r="AM22" s="30">
        <f t="shared" si="1"/>
        <v>303</v>
      </c>
      <c r="AN22" s="7"/>
      <c r="AO22" s="8" t="s">
        <v>30</v>
      </c>
      <c r="AP22" s="8" t="s">
        <v>33</v>
      </c>
      <c r="AQ22" s="8">
        <v>278</v>
      </c>
      <c r="AR22" s="9">
        <v>1</v>
      </c>
      <c r="AS22" s="125">
        <v>3</v>
      </c>
      <c r="AT22" s="10" t="s">
        <v>183</v>
      </c>
    </row>
    <row r="23" spans="1:61">
      <c r="AK23">
        <f t="shared" si="9"/>
        <v>3</v>
      </c>
      <c r="AL23">
        <f t="shared" si="0"/>
        <v>4</v>
      </c>
      <c r="AM23" s="30">
        <f t="shared" si="1"/>
        <v>304</v>
      </c>
      <c r="AN23" s="7"/>
      <c r="AO23" s="8" t="s">
        <v>30</v>
      </c>
      <c r="AP23" s="8" t="s">
        <v>34</v>
      </c>
      <c r="AQ23" s="8">
        <v>325</v>
      </c>
      <c r="AR23" s="9">
        <v>0.5</v>
      </c>
      <c r="AS23" s="125">
        <v>14</v>
      </c>
      <c r="AT23" s="10" t="s">
        <v>183</v>
      </c>
    </row>
    <row r="24" spans="1:61">
      <c r="B24" s="24"/>
      <c r="C24" s="4"/>
      <c r="D24" s="4"/>
      <c r="E24" s="4"/>
      <c r="F24" s="73" t="s">
        <v>16</v>
      </c>
      <c r="G24" s="74" t="s">
        <v>160</v>
      </c>
      <c r="H24" s="75"/>
      <c r="I24" s="75"/>
      <c r="J24" s="76"/>
      <c r="R24" t="s">
        <v>155</v>
      </c>
      <c r="S24" t="s">
        <v>157</v>
      </c>
      <c r="U24" s="52" t="s">
        <v>3</v>
      </c>
      <c r="V24" s="52"/>
      <c r="W24" s="52"/>
      <c r="X24" s="39">
        <v>1.5</v>
      </c>
      <c r="Y24" s="46">
        <v>1.2</v>
      </c>
      <c r="Z24" s="41">
        <v>0.99</v>
      </c>
      <c r="AA24" s="43">
        <v>0.8</v>
      </c>
      <c r="AB24" s="45"/>
      <c r="AC24" s="48" t="s">
        <v>135</v>
      </c>
      <c r="AD24" s="49" t="s">
        <v>134</v>
      </c>
      <c r="AE24" s="50" t="s">
        <v>152</v>
      </c>
      <c r="AF24" s="51" t="s">
        <v>133</v>
      </c>
      <c r="AG24" s="61"/>
      <c r="AH24" s="61"/>
      <c r="AK24">
        <f t="shared" si="9"/>
        <v>3</v>
      </c>
      <c r="AL24">
        <f t="shared" si="0"/>
        <v>5</v>
      </c>
      <c r="AM24" s="30">
        <f t="shared" si="1"/>
        <v>305</v>
      </c>
      <c r="AN24" s="7"/>
      <c r="AO24" s="8" t="s">
        <v>30</v>
      </c>
      <c r="AP24" s="8" t="s">
        <v>35</v>
      </c>
      <c r="AQ24" s="8">
        <v>376</v>
      </c>
      <c r="AR24" s="9">
        <v>0.5</v>
      </c>
      <c r="AS24" s="125">
        <v>10</v>
      </c>
      <c r="AT24" s="10" t="s">
        <v>183</v>
      </c>
    </row>
    <row r="25" spans="1:61">
      <c r="B25" s="25"/>
      <c r="C25" s="8"/>
      <c r="D25" s="8"/>
      <c r="E25" s="8"/>
      <c r="F25" s="68">
        <v>1</v>
      </c>
      <c r="G25" s="66" t="s">
        <v>161</v>
      </c>
      <c r="H25" s="66" t="s">
        <v>162</v>
      </c>
      <c r="I25" s="64" t="s">
        <v>163</v>
      </c>
      <c r="J25" s="77"/>
      <c r="K25" t="s">
        <v>7</v>
      </c>
      <c r="L25" t="s">
        <v>1</v>
      </c>
      <c r="M25" t="s">
        <v>2</v>
      </c>
      <c r="N25" t="s">
        <v>8</v>
      </c>
      <c r="O25" t="s">
        <v>154</v>
      </c>
      <c r="P25" t="s">
        <v>6</v>
      </c>
      <c r="Q25" t="s">
        <v>140</v>
      </c>
      <c r="R25" t="s">
        <v>156</v>
      </c>
      <c r="S25" t="s">
        <v>156</v>
      </c>
      <c r="U25" s="52" t="s">
        <v>153</v>
      </c>
      <c r="V25" s="52" t="s">
        <v>126</v>
      </c>
      <c r="W25" s="52" t="s">
        <v>127</v>
      </c>
      <c r="X25" s="39" t="s">
        <v>136</v>
      </c>
      <c r="Y25" s="46" t="s">
        <v>137</v>
      </c>
      <c r="Z25" s="41" t="s">
        <v>138</v>
      </c>
      <c r="AA25" s="43" t="s">
        <v>139</v>
      </c>
      <c r="AB25" s="45" t="s">
        <v>128</v>
      </c>
      <c r="AC25" s="48" t="s">
        <v>132</v>
      </c>
      <c r="AD25" s="49" t="s">
        <v>131</v>
      </c>
      <c r="AE25" s="50" t="s">
        <v>130</v>
      </c>
      <c r="AF25" s="51" t="s">
        <v>129</v>
      </c>
      <c r="AG25" s="62" t="s">
        <v>171</v>
      </c>
      <c r="AH25" s="62" t="s">
        <v>172</v>
      </c>
      <c r="AK25">
        <f t="shared" si="9"/>
        <v>3</v>
      </c>
      <c r="AL25">
        <f t="shared" si="0"/>
        <v>6</v>
      </c>
      <c r="AM25" s="30">
        <f t="shared" si="1"/>
        <v>306</v>
      </c>
      <c r="AN25" s="7"/>
      <c r="AO25" s="8" t="s">
        <v>30</v>
      </c>
      <c r="AP25" s="8" t="s">
        <v>36</v>
      </c>
      <c r="AQ25" s="8">
        <v>1153</v>
      </c>
      <c r="AR25" s="9">
        <v>1</v>
      </c>
      <c r="AS25" s="125">
        <v>30</v>
      </c>
      <c r="AT25" s="10" t="s">
        <v>183</v>
      </c>
    </row>
    <row r="26" spans="1:61">
      <c r="B26" s="91" t="str">
        <f>BF2</f>
        <v>妖精</v>
      </c>
      <c r="C26" s="69"/>
      <c r="D26" s="69"/>
      <c r="E26" s="69"/>
      <c r="F26" s="70" t="s">
        <v>4</v>
      </c>
      <c r="G26" s="71"/>
      <c r="H26" s="71"/>
      <c r="I26" s="72" t="s">
        <v>158</v>
      </c>
      <c r="J26" s="78" t="s">
        <v>159</v>
      </c>
      <c r="M26" s="1"/>
      <c r="U26" s="52"/>
      <c r="V26" s="52"/>
      <c r="W26" s="52"/>
      <c r="X26" s="40">
        <f>X27</f>
        <v>446</v>
      </c>
      <c r="Y26" s="47">
        <f>Y27</f>
        <v>254</v>
      </c>
      <c r="Z26" s="42">
        <f>Z27</f>
        <v>193</v>
      </c>
      <c r="AA26" s="44">
        <f>AA27</f>
        <v>156</v>
      </c>
      <c r="AB26" s="45"/>
      <c r="AC26" s="48"/>
      <c r="AD26" s="49"/>
      <c r="AE26" s="50"/>
      <c r="AF26" s="51"/>
      <c r="AG26" s="63"/>
      <c r="AH26" s="63"/>
      <c r="AK26">
        <f t="shared" si="9"/>
        <v>3</v>
      </c>
      <c r="AL26">
        <f t="shared" si="0"/>
        <v>7</v>
      </c>
      <c r="AM26" s="31">
        <f t="shared" si="1"/>
        <v>307</v>
      </c>
      <c r="AN26" s="11"/>
      <c r="AO26" s="12" t="s">
        <v>30</v>
      </c>
      <c r="AP26" s="12" t="s">
        <v>37</v>
      </c>
      <c r="AQ26" s="12">
        <v>1210</v>
      </c>
      <c r="AR26" s="13">
        <v>0.5</v>
      </c>
      <c r="AS26" s="126">
        <v>23</v>
      </c>
      <c r="AT26" s="14" t="s">
        <v>183</v>
      </c>
    </row>
    <row r="27" spans="1:61">
      <c r="A27" s="54">
        <f>'南国ビーチ(耐性HP換算タイプ)'!AW2</f>
        <v>101</v>
      </c>
      <c r="B27" s="79"/>
      <c r="C27" s="80" t="str">
        <f>'南国ビーチ(耐性HP換算タイプ)'!BC2</f>
        <v>-</v>
      </c>
      <c r="D27" s="8" t="str">
        <f>'南国ビーチ(耐性HP換算タイプ)'!AY2</f>
        <v>ピクシー</v>
      </c>
      <c r="E27" s="8"/>
      <c r="F27" s="67">
        <f t="shared" ref="F27:F32" si="14">IF($A27="-","-",O27)</f>
        <v>100</v>
      </c>
      <c r="G27" s="67">
        <f t="shared" ref="G27:J32" si="15">IF($A27="-","-",X27)</f>
        <v>446</v>
      </c>
      <c r="H27" s="67">
        <f t="shared" si="15"/>
        <v>254</v>
      </c>
      <c r="I27" s="65">
        <f t="shared" si="15"/>
        <v>193</v>
      </c>
      <c r="J27" s="10">
        <f t="shared" si="15"/>
        <v>156</v>
      </c>
      <c r="K27" t="str">
        <f>'南国ビーチ(耐性HP換算タイプ)'!AX2</f>
        <v>妖精</v>
      </c>
      <c r="L27">
        <f>'南国ビーチ(耐性HP換算タイプ)'!AZ2</f>
        <v>75</v>
      </c>
      <c r="M27" s="1">
        <f>'南国ビーチ(耐性HP換算タイプ)'!BA2</f>
        <v>0.75</v>
      </c>
      <c r="N27">
        <f>'南国ビーチ(耐性HP換算タイプ)'!BB2</f>
        <v>6</v>
      </c>
      <c r="O27">
        <f t="shared" ref="O27:O36" si="16">ROUNDDOWN(L27/M27,0)</f>
        <v>100</v>
      </c>
      <c r="P27">
        <v>0.5</v>
      </c>
      <c r="Q27">
        <f>SUMIF($H$4:$H$19,K27,$J$4:$J$19)</f>
        <v>0.4</v>
      </c>
      <c r="R27">
        <f t="shared" ref="R27:R36" si="17">O27-L27</f>
        <v>25</v>
      </c>
      <c r="S27">
        <f t="shared" ref="S27:S36" si="18">IF(R27&lt;0,R27,0)</f>
        <v>0</v>
      </c>
      <c r="U27" s="52">
        <f t="shared" ref="U27:U36" si="19">SUM(L27,S27)</f>
        <v>75</v>
      </c>
      <c r="V27" s="52">
        <f t="shared" ref="V27:V36" si="20">IF(R27&gt;0,R27,#N/A)</f>
        <v>25</v>
      </c>
      <c r="W27" s="52" t="e">
        <f t="shared" ref="W27:W35" si="21">IF(R27&lt;0,R27*-1,#N/A)</f>
        <v>#N/A</v>
      </c>
      <c r="X27" s="40">
        <f>ROUNDDOWN(($D$3*$P27+1-$N27*0)*1*(1+$D$4)*(1+$D$5+$Q27)*X$24*(1+$D$6),0)*MAX(1,$B$10)</f>
        <v>446</v>
      </c>
      <c r="Y27" s="47">
        <f>ROUNDDOWN(($D$3*$P27+1-$N27*0)*1*(1+$D$4)*(1+$D$5+$Q27)*Y$24,0)*MAX(1,$B$10)</f>
        <v>254</v>
      </c>
      <c r="Z27" s="42">
        <f>ROUNDDOWN(($D$3*$P27+1-$N27)*1*(1+$D$4)*(1+$D$5+$Q27)*Z$24,0)*MAX(1,$B$10)</f>
        <v>193</v>
      </c>
      <c r="AA27" s="44">
        <f>ROUNDDOWN(($D$3*$P27+1-$N27)*1*(1+$D$4)*(1+$D$5+$Q27)*AA$24,0)*MAX(1,$B$10)</f>
        <v>156</v>
      </c>
      <c r="AB27" s="45">
        <f t="shared" ref="AB27:AB36" si="22">$O27</f>
        <v>100</v>
      </c>
      <c r="AC27" s="48">
        <f t="shared" ref="AC27:AF36" si="23">IF($O27&lt;X27,$O27,#N/A)</f>
        <v>100</v>
      </c>
      <c r="AD27" s="49">
        <f t="shared" si="23"/>
        <v>100</v>
      </c>
      <c r="AE27" s="50">
        <f t="shared" si="23"/>
        <v>100</v>
      </c>
      <c r="AF27" s="51">
        <f t="shared" si="23"/>
        <v>100</v>
      </c>
      <c r="AG27" s="63">
        <f>MAX(X27,ABS(R27)+U27)</f>
        <v>446</v>
      </c>
      <c r="AH27" s="63">
        <f>MAX(X27,ABS(R27)+U27)</f>
        <v>446</v>
      </c>
      <c r="AK27">
        <f t="shared" si="9"/>
        <v>4</v>
      </c>
      <c r="AL27">
        <f t="shared" si="0"/>
        <v>1</v>
      </c>
      <c r="AM27" s="29">
        <f t="shared" si="1"/>
        <v>401</v>
      </c>
      <c r="AN27" s="15"/>
      <c r="AO27" s="4" t="s">
        <v>38</v>
      </c>
      <c r="AP27" s="4" t="s">
        <v>39</v>
      </c>
      <c r="AQ27" s="4">
        <v>130</v>
      </c>
      <c r="AR27" s="5">
        <v>1</v>
      </c>
      <c r="AS27" s="124">
        <v>3</v>
      </c>
      <c r="AT27" s="6" t="s">
        <v>183</v>
      </c>
    </row>
    <row r="28" spans="1:61">
      <c r="A28" s="54">
        <f>'南国ビーチ(耐性HP換算タイプ)'!AW3</f>
        <v>102</v>
      </c>
      <c r="B28" s="79"/>
      <c r="C28" s="80" t="str">
        <f>'南国ビーチ(耐性HP換算タイプ)'!BC3</f>
        <v>-</v>
      </c>
      <c r="D28" s="8" t="str">
        <f>'南国ビーチ(耐性HP換算タイプ)'!AY3</f>
        <v>ジャックフロスト</v>
      </c>
      <c r="E28" s="8"/>
      <c r="F28" s="67">
        <f t="shared" si="14"/>
        <v>124</v>
      </c>
      <c r="G28" s="67">
        <f t="shared" si="15"/>
        <v>446</v>
      </c>
      <c r="H28" s="67">
        <f t="shared" si="15"/>
        <v>254</v>
      </c>
      <c r="I28" s="65">
        <f t="shared" si="15"/>
        <v>188</v>
      </c>
      <c r="J28" s="10">
        <f t="shared" si="15"/>
        <v>152</v>
      </c>
      <c r="K28" t="str">
        <f>'南国ビーチ(耐性HP換算タイプ)'!AX3</f>
        <v>妖精</v>
      </c>
      <c r="L28">
        <f>'南国ビーチ(耐性HP換算タイプ)'!AZ3</f>
        <v>124</v>
      </c>
      <c r="M28" s="1">
        <f>'南国ビーチ(耐性HP換算タイプ)'!BA3</f>
        <v>1</v>
      </c>
      <c r="N28">
        <f>'南国ビーチ(耐性HP換算タイプ)'!BB3</f>
        <v>8</v>
      </c>
      <c r="O28">
        <f t="shared" si="16"/>
        <v>124</v>
      </c>
      <c r="P28">
        <v>0.5</v>
      </c>
      <c r="Q28">
        <f t="shared" ref="Q28:Q36" si="24">SUMIF($H$4:$H$19,K28,$J$4:$J$19)</f>
        <v>0.4</v>
      </c>
      <c r="R28">
        <f t="shared" si="17"/>
        <v>0</v>
      </c>
      <c r="S28">
        <f t="shared" si="18"/>
        <v>0</v>
      </c>
      <c r="U28" s="52">
        <f t="shared" si="19"/>
        <v>124</v>
      </c>
      <c r="V28" s="52" t="e">
        <f t="shared" si="20"/>
        <v>#N/A</v>
      </c>
      <c r="W28" s="52" t="e">
        <f t="shared" si="21"/>
        <v>#N/A</v>
      </c>
      <c r="X28" s="40">
        <f t="shared" ref="X28:X36" si="25">ROUNDDOWN(($D$3*$P28+1-$N28*0)*1*(1+$D$4)*(1+$D$5+$Q28)*X$24*(1+$D$6),0)*MAX(1,$B$10)</f>
        <v>446</v>
      </c>
      <c r="Y28" s="47">
        <f t="shared" ref="Y28:Y36" si="26">ROUNDDOWN(($D$3*$P28+1-$N28*0)*1*(1+$D$4)*(1+$D$5+$Q28)*Y$24,0)*MAX(1,$B$10)</f>
        <v>254</v>
      </c>
      <c r="Z28" s="42">
        <f t="shared" ref="Z28:AA36" si="27">ROUNDDOWN(($D$3*$P28+1-$N28)*1*(1+$D$4)*(1+$D$5+$Q28)*Z$24,0)*MAX(1,$B$10)</f>
        <v>188</v>
      </c>
      <c r="AA28" s="44">
        <f t="shared" si="27"/>
        <v>152</v>
      </c>
      <c r="AB28" s="45">
        <f t="shared" si="22"/>
        <v>124</v>
      </c>
      <c r="AC28" s="48">
        <f t="shared" si="23"/>
        <v>124</v>
      </c>
      <c r="AD28" s="49">
        <f t="shared" si="23"/>
        <v>124</v>
      </c>
      <c r="AE28" s="50">
        <f t="shared" si="23"/>
        <v>124</v>
      </c>
      <c r="AF28" s="51">
        <f t="shared" si="23"/>
        <v>124</v>
      </c>
      <c r="AG28" s="63">
        <f t="shared" ref="AG28:AG36" si="28">MAX(X28,ABS(R28)+U28)</f>
        <v>446</v>
      </c>
      <c r="AH28" s="63">
        <f t="shared" ref="AH28:AH36" si="29">MAX(X28,ABS(R28)+U28)</f>
        <v>446</v>
      </c>
      <c r="AK28">
        <f t="shared" si="9"/>
        <v>4</v>
      </c>
      <c r="AL28">
        <f t="shared" si="0"/>
        <v>2</v>
      </c>
      <c r="AM28" s="30">
        <f t="shared" si="1"/>
        <v>402</v>
      </c>
      <c r="AN28" s="16"/>
      <c r="AO28" s="8" t="s">
        <v>38</v>
      </c>
      <c r="AP28" s="8" t="s">
        <v>40</v>
      </c>
      <c r="AQ28" s="8">
        <v>167</v>
      </c>
      <c r="AR28" s="9">
        <v>0</v>
      </c>
      <c r="AS28" s="125">
        <v>9</v>
      </c>
      <c r="AT28" s="10" t="s">
        <v>183</v>
      </c>
    </row>
    <row r="29" spans="1:61">
      <c r="A29" s="54">
        <f>'南国ビーチ(耐性HP換算タイプ)'!AW4</f>
        <v>103</v>
      </c>
      <c r="B29" s="79"/>
      <c r="C29" s="80" t="str">
        <f>'南国ビーチ(耐性HP換算タイプ)'!BC4</f>
        <v>-</v>
      </c>
      <c r="D29" s="8" t="str">
        <f>'南国ビーチ(耐性HP換算タイプ)'!AY4</f>
        <v>ハイピクシー</v>
      </c>
      <c r="E29" s="8"/>
      <c r="F29" s="67">
        <f t="shared" si="14"/>
        <v>205</v>
      </c>
      <c r="G29" s="67">
        <f t="shared" si="15"/>
        <v>446</v>
      </c>
      <c r="H29" s="67">
        <f t="shared" si="15"/>
        <v>254</v>
      </c>
      <c r="I29" s="65">
        <f t="shared" si="15"/>
        <v>185</v>
      </c>
      <c r="J29" s="10">
        <f t="shared" si="15"/>
        <v>149</v>
      </c>
      <c r="K29" t="str">
        <f>'南国ビーチ(耐性HP換算タイプ)'!AX4</f>
        <v>妖精</v>
      </c>
      <c r="L29">
        <f>'南国ビーチ(耐性HP換算タイプ)'!AZ4</f>
        <v>154</v>
      </c>
      <c r="M29" s="1">
        <f>'南国ビーチ(耐性HP換算タイプ)'!BA4</f>
        <v>0.75</v>
      </c>
      <c r="N29">
        <f>'南国ビーチ(耐性HP換算タイプ)'!BB4</f>
        <v>9</v>
      </c>
      <c r="O29">
        <f t="shared" si="16"/>
        <v>205</v>
      </c>
      <c r="P29">
        <v>0.5</v>
      </c>
      <c r="Q29">
        <f t="shared" si="24"/>
        <v>0.4</v>
      </c>
      <c r="R29">
        <f t="shared" si="17"/>
        <v>51</v>
      </c>
      <c r="S29">
        <f t="shared" si="18"/>
        <v>0</v>
      </c>
      <c r="U29" s="52">
        <f t="shared" si="19"/>
        <v>154</v>
      </c>
      <c r="V29" s="52">
        <f t="shared" si="20"/>
        <v>51</v>
      </c>
      <c r="W29" s="52" t="e">
        <f t="shared" si="21"/>
        <v>#N/A</v>
      </c>
      <c r="X29" s="40">
        <f t="shared" si="25"/>
        <v>446</v>
      </c>
      <c r="Y29" s="47">
        <f t="shared" si="26"/>
        <v>254</v>
      </c>
      <c r="Z29" s="42">
        <f t="shared" si="27"/>
        <v>185</v>
      </c>
      <c r="AA29" s="44">
        <f t="shared" si="27"/>
        <v>149</v>
      </c>
      <c r="AB29" s="45">
        <f t="shared" si="22"/>
        <v>205</v>
      </c>
      <c r="AC29" s="48">
        <f t="shared" si="23"/>
        <v>205</v>
      </c>
      <c r="AD29" s="49">
        <f t="shared" si="23"/>
        <v>205</v>
      </c>
      <c r="AE29" s="50" t="e">
        <f t="shared" si="23"/>
        <v>#N/A</v>
      </c>
      <c r="AF29" s="51" t="e">
        <f t="shared" si="23"/>
        <v>#N/A</v>
      </c>
      <c r="AG29" s="63">
        <f t="shared" si="28"/>
        <v>446</v>
      </c>
      <c r="AH29" s="63">
        <f t="shared" si="29"/>
        <v>446</v>
      </c>
      <c r="AK29">
        <f t="shared" si="9"/>
        <v>4</v>
      </c>
      <c r="AL29">
        <f t="shared" si="0"/>
        <v>3</v>
      </c>
      <c r="AM29" s="30">
        <f t="shared" si="1"/>
        <v>403</v>
      </c>
      <c r="AN29" s="16"/>
      <c r="AO29" s="8" t="s">
        <v>38</v>
      </c>
      <c r="AP29" s="8" t="s">
        <v>41</v>
      </c>
      <c r="AQ29" s="8">
        <v>163</v>
      </c>
      <c r="AR29" s="9">
        <v>0.35</v>
      </c>
      <c r="AS29" s="125">
        <v>2</v>
      </c>
      <c r="AT29" s="10" t="s">
        <v>183</v>
      </c>
    </row>
    <row r="30" spans="1:61">
      <c r="A30" s="54">
        <f>'南国ビーチ(耐性HP換算タイプ)'!AW5</f>
        <v>104</v>
      </c>
      <c r="B30" s="79"/>
      <c r="C30" s="80" t="str">
        <f>'南国ビーチ(耐性HP換算タイプ)'!BC5</f>
        <v>-</v>
      </c>
      <c r="D30" s="8" t="str">
        <f>'南国ビーチ(耐性HP換算タイプ)'!AY5</f>
        <v>ジャックランタン</v>
      </c>
      <c r="E30" s="8"/>
      <c r="F30" s="67">
        <f t="shared" si="14"/>
        <v>175</v>
      </c>
      <c r="G30" s="67">
        <f t="shared" si="15"/>
        <v>446</v>
      </c>
      <c r="H30" s="67">
        <f t="shared" si="15"/>
        <v>254</v>
      </c>
      <c r="I30" s="65">
        <f t="shared" si="15"/>
        <v>177</v>
      </c>
      <c r="J30" s="10">
        <f t="shared" si="15"/>
        <v>143</v>
      </c>
      <c r="K30" t="str">
        <f>'南国ビーチ(耐性HP換算タイプ)'!AX5</f>
        <v>妖精</v>
      </c>
      <c r="L30">
        <f>'南国ビーチ(耐性HP換算タイプ)'!AZ5</f>
        <v>149</v>
      </c>
      <c r="M30" s="1">
        <f>'南国ビーチ(耐性HP換算タイプ)'!BA5</f>
        <v>0.85</v>
      </c>
      <c r="N30">
        <f>'南国ビーチ(耐性HP換算タイプ)'!BB5</f>
        <v>12</v>
      </c>
      <c r="O30">
        <f t="shared" si="16"/>
        <v>175</v>
      </c>
      <c r="P30">
        <v>0.5</v>
      </c>
      <c r="Q30">
        <f t="shared" si="24"/>
        <v>0.4</v>
      </c>
      <c r="R30">
        <f t="shared" si="17"/>
        <v>26</v>
      </c>
      <c r="S30">
        <f t="shared" si="18"/>
        <v>0</v>
      </c>
      <c r="U30" s="52">
        <f t="shared" si="19"/>
        <v>149</v>
      </c>
      <c r="V30" s="52">
        <f t="shared" si="20"/>
        <v>26</v>
      </c>
      <c r="W30" s="52" t="e">
        <f t="shared" si="21"/>
        <v>#N/A</v>
      </c>
      <c r="X30" s="40">
        <f t="shared" si="25"/>
        <v>446</v>
      </c>
      <c r="Y30" s="47">
        <f t="shared" si="26"/>
        <v>254</v>
      </c>
      <c r="Z30" s="42">
        <f t="shared" si="27"/>
        <v>177</v>
      </c>
      <c r="AA30" s="44">
        <f t="shared" si="27"/>
        <v>143</v>
      </c>
      <c r="AB30" s="45">
        <f t="shared" si="22"/>
        <v>175</v>
      </c>
      <c r="AC30" s="48">
        <f t="shared" si="23"/>
        <v>175</v>
      </c>
      <c r="AD30" s="49">
        <f t="shared" si="23"/>
        <v>175</v>
      </c>
      <c r="AE30" s="50">
        <f t="shared" si="23"/>
        <v>175</v>
      </c>
      <c r="AF30" s="51" t="e">
        <f t="shared" si="23"/>
        <v>#N/A</v>
      </c>
      <c r="AG30" s="63">
        <f t="shared" si="28"/>
        <v>446</v>
      </c>
      <c r="AH30" s="63">
        <f t="shared" si="29"/>
        <v>446</v>
      </c>
      <c r="AK30">
        <f t="shared" si="9"/>
        <v>4</v>
      </c>
      <c r="AL30">
        <f t="shared" si="0"/>
        <v>4</v>
      </c>
      <c r="AM30" s="30">
        <f t="shared" si="1"/>
        <v>404</v>
      </c>
      <c r="AN30" s="16"/>
      <c r="AO30" s="8" t="s">
        <v>38</v>
      </c>
      <c r="AP30" s="8" t="s">
        <v>42</v>
      </c>
      <c r="AQ30" s="8">
        <v>228</v>
      </c>
      <c r="AR30" s="9">
        <v>0.75</v>
      </c>
      <c r="AS30" s="125">
        <v>8</v>
      </c>
      <c r="AT30" s="10" t="s">
        <v>183</v>
      </c>
    </row>
    <row r="31" spans="1:61">
      <c r="A31" s="54">
        <f>'南国ビーチ(耐性HP換算タイプ)'!AW6</f>
        <v>105</v>
      </c>
      <c r="B31" s="79"/>
      <c r="C31" s="80" t="str">
        <f>'南国ビーチ(耐性HP換算タイプ)'!BC6</f>
        <v>-</v>
      </c>
      <c r="D31" s="8" t="str">
        <f>'南国ビーチ(耐性HP換算タイプ)'!AY6</f>
        <v>ガンダルヴァ</v>
      </c>
      <c r="E31" s="8"/>
      <c r="F31" s="67">
        <f t="shared" si="14"/>
        <v>286</v>
      </c>
      <c r="G31" s="67">
        <f t="shared" si="15"/>
        <v>446</v>
      </c>
      <c r="H31" s="67">
        <f t="shared" si="15"/>
        <v>254</v>
      </c>
      <c r="I31" s="65">
        <f t="shared" si="15"/>
        <v>199</v>
      </c>
      <c r="J31" s="10">
        <f t="shared" si="15"/>
        <v>160</v>
      </c>
      <c r="K31" t="str">
        <f>'南国ビーチ(耐性HP換算タイプ)'!AX6</f>
        <v>妖精</v>
      </c>
      <c r="L31">
        <f>'南国ビーチ(耐性HP換算タイプ)'!AZ6</f>
        <v>215</v>
      </c>
      <c r="M31" s="1">
        <f>'南国ビーチ(耐性HP換算タイプ)'!BA6</f>
        <v>0.75</v>
      </c>
      <c r="N31">
        <f>'南国ビーチ(耐性HP換算タイプ)'!BB6</f>
        <v>4</v>
      </c>
      <c r="O31">
        <f t="shared" si="16"/>
        <v>286</v>
      </c>
      <c r="P31">
        <v>0.5</v>
      </c>
      <c r="Q31">
        <f t="shared" si="24"/>
        <v>0.4</v>
      </c>
      <c r="R31">
        <f t="shared" si="17"/>
        <v>71</v>
      </c>
      <c r="S31">
        <f t="shared" si="18"/>
        <v>0</v>
      </c>
      <c r="U31" s="52">
        <f t="shared" si="19"/>
        <v>215</v>
      </c>
      <c r="V31" s="52">
        <f t="shared" si="20"/>
        <v>71</v>
      </c>
      <c r="W31" s="52" t="e">
        <f t="shared" si="21"/>
        <v>#N/A</v>
      </c>
      <c r="X31" s="40">
        <f t="shared" si="25"/>
        <v>446</v>
      </c>
      <c r="Y31" s="47">
        <f t="shared" si="26"/>
        <v>254</v>
      </c>
      <c r="Z31" s="42">
        <f t="shared" si="27"/>
        <v>199</v>
      </c>
      <c r="AA31" s="44">
        <f t="shared" si="27"/>
        <v>160</v>
      </c>
      <c r="AB31" s="45">
        <f t="shared" si="22"/>
        <v>286</v>
      </c>
      <c r="AC31" s="48">
        <f t="shared" si="23"/>
        <v>286</v>
      </c>
      <c r="AD31" s="49" t="e">
        <f t="shared" si="23"/>
        <v>#N/A</v>
      </c>
      <c r="AE31" s="50" t="e">
        <f t="shared" si="23"/>
        <v>#N/A</v>
      </c>
      <c r="AF31" s="51" t="e">
        <f t="shared" si="23"/>
        <v>#N/A</v>
      </c>
      <c r="AG31" s="63">
        <f t="shared" si="28"/>
        <v>446</v>
      </c>
      <c r="AH31" s="63">
        <f t="shared" si="29"/>
        <v>446</v>
      </c>
      <c r="AK31">
        <f t="shared" si="9"/>
        <v>4</v>
      </c>
      <c r="AL31">
        <f t="shared" si="0"/>
        <v>5</v>
      </c>
      <c r="AM31" s="30">
        <f t="shared" si="1"/>
        <v>405</v>
      </c>
      <c r="AN31" s="16"/>
      <c r="AO31" s="8" t="s">
        <v>38</v>
      </c>
      <c r="AP31" s="8" t="s">
        <v>43</v>
      </c>
      <c r="AQ31" s="8">
        <v>250</v>
      </c>
      <c r="AR31" s="9">
        <v>1</v>
      </c>
      <c r="AS31" s="125">
        <v>14</v>
      </c>
      <c r="AT31" s="10" t="s">
        <v>183</v>
      </c>
    </row>
    <row r="32" spans="1:61">
      <c r="A32" s="54">
        <f>'南国ビーチ(耐性HP換算タイプ)'!AW7</f>
        <v>106</v>
      </c>
      <c r="B32" s="79"/>
      <c r="C32" s="80" t="str">
        <f>'南国ビーチ(耐性HP換算タイプ)'!BC7</f>
        <v>-</v>
      </c>
      <c r="D32" s="8" t="str">
        <f>'南国ビーチ(耐性HP換算タイプ)'!AY7</f>
        <v>ケルピー</v>
      </c>
      <c r="E32" s="8"/>
      <c r="F32" s="67">
        <f t="shared" si="14"/>
        <v>258</v>
      </c>
      <c r="G32" s="67">
        <f t="shared" si="15"/>
        <v>446</v>
      </c>
      <c r="H32" s="67">
        <f t="shared" si="15"/>
        <v>254</v>
      </c>
      <c r="I32" s="65">
        <f t="shared" si="15"/>
        <v>190</v>
      </c>
      <c r="J32" s="10">
        <f t="shared" si="15"/>
        <v>154</v>
      </c>
      <c r="K32" t="str">
        <f>'南国ビーチ(耐性HP換算タイプ)'!AX7</f>
        <v>妖精</v>
      </c>
      <c r="L32">
        <f>'南国ビーチ(耐性HP換算タイプ)'!AZ7</f>
        <v>194</v>
      </c>
      <c r="M32" s="1">
        <f>'南国ビーチ(耐性HP換算タイプ)'!BA7</f>
        <v>0.75</v>
      </c>
      <c r="N32">
        <f>'南国ビーチ(耐性HP換算タイプ)'!BB7</f>
        <v>7</v>
      </c>
      <c r="O32">
        <f t="shared" si="16"/>
        <v>258</v>
      </c>
      <c r="P32">
        <v>0.5</v>
      </c>
      <c r="Q32">
        <f t="shared" si="24"/>
        <v>0.4</v>
      </c>
      <c r="R32">
        <f t="shared" si="17"/>
        <v>64</v>
      </c>
      <c r="S32">
        <f t="shared" si="18"/>
        <v>0</v>
      </c>
      <c r="U32" s="52">
        <f t="shared" si="19"/>
        <v>194</v>
      </c>
      <c r="V32" s="52">
        <f t="shared" si="20"/>
        <v>64</v>
      </c>
      <c r="W32" s="52" t="e">
        <f t="shared" si="21"/>
        <v>#N/A</v>
      </c>
      <c r="X32" s="40">
        <f t="shared" si="25"/>
        <v>446</v>
      </c>
      <c r="Y32" s="47">
        <f t="shared" si="26"/>
        <v>254</v>
      </c>
      <c r="Z32" s="42">
        <f t="shared" si="27"/>
        <v>190</v>
      </c>
      <c r="AA32" s="44">
        <f t="shared" si="27"/>
        <v>154</v>
      </c>
      <c r="AB32" s="45">
        <f t="shared" si="22"/>
        <v>258</v>
      </c>
      <c r="AC32" s="48">
        <f t="shared" si="23"/>
        <v>258</v>
      </c>
      <c r="AD32" s="49" t="e">
        <f t="shared" si="23"/>
        <v>#N/A</v>
      </c>
      <c r="AE32" s="50" t="e">
        <f t="shared" si="23"/>
        <v>#N/A</v>
      </c>
      <c r="AF32" s="51" t="e">
        <f t="shared" si="23"/>
        <v>#N/A</v>
      </c>
      <c r="AG32" s="63">
        <f t="shared" si="28"/>
        <v>446</v>
      </c>
      <c r="AH32" s="63">
        <f t="shared" si="29"/>
        <v>446</v>
      </c>
      <c r="AK32">
        <f t="shared" si="9"/>
        <v>4</v>
      </c>
      <c r="AL32">
        <f t="shared" si="0"/>
        <v>6</v>
      </c>
      <c r="AM32" s="30">
        <f t="shared" si="1"/>
        <v>406</v>
      </c>
      <c r="AN32" s="16"/>
      <c r="AO32" s="8" t="s">
        <v>38</v>
      </c>
      <c r="AP32" s="8" t="s">
        <v>44</v>
      </c>
      <c r="AQ32" s="8">
        <v>409</v>
      </c>
      <c r="AR32" s="9">
        <v>1</v>
      </c>
      <c r="AS32" s="125">
        <v>10</v>
      </c>
      <c r="AT32" s="10" t="s">
        <v>183</v>
      </c>
    </row>
    <row r="33" spans="1:46">
      <c r="A33" s="54">
        <f>'南国ビーチ(耐性HP換算タイプ)'!AW8</f>
        <v>107</v>
      </c>
      <c r="B33" s="79"/>
      <c r="C33" s="80" t="str">
        <f>'南国ビーチ(耐性HP換算タイプ)'!BC8</f>
        <v>-</v>
      </c>
      <c r="D33" s="8" t="str">
        <f>'南国ビーチ(耐性HP換算タイプ)'!AY8</f>
        <v>エルフ</v>
      </c>
      <c r="E33" s="8"/>
      <c r="F33" s="67">
        <f>IF($A33="-","-",O33)</f>
        <v>380</v>
      </c>
      <c r="G33" s="67">
        <f>IF($A33="-","-",X33)</f>
        <v>446</v>
      </c>
      <c r="H33" s="67">
        <f>IF($A33="-","-",Y33)</f>
        <v>254</v>
      </c>
      <c r="I33" s="65">
        <f>IF($A33="-","-",Z33)</f>
        <v>179</v>
      </c>
      <c r="J33" s="10">
        <f>IF($A33="-","-",AA33)</f>
        <v>145</v>
      </c>
      <c r="K33" t="str">
        <f>'南国ビーチ(耐性HP換算タイプ)'!AX8</f>
        <v>妖精</v>
      </c>
      <c r="L33">
        <f>'南国ビーチ(耐性HP換算タイプ)'!AZ8</f>
        <v>285</v>
      </c>
      <c r="M33" s="1">
        <f>'南国ビーチ(耐性HP換算タイプ)'!BA8</f>
        <v>0.75</v>
      </c>
      <c r="N33">
        <f>'南国ビーチ(耐性HP換算タイプ)'!BB8</f>
        <v>11</v>
      </c>
      <c r="O33">
        <f t="shared" si="16"/>
        <v>380</v>
      </c>
      <c r="P33">
        <v>0.5</v>
      </c>
      <c r="Q33">
        <f t="shared" si="24"/>
        <v>0.4</v>
      </c>
      <c r="R33">
        <f t="shared" si="17"/>
        <v>95</v>
      </c>
      <c r="S33">
        <f t="shared" si="18"/>
        <v>0</v>
      </c>
      <c r="U33" s="52">
        <f t="shared" si="19"/>
        <v>285</v>
      </c>
      <c r="V33" s="52">
        <f t="shared" si="20"/>
        <v>95</v>
      </c>
      <c r="W33" s="52" t="e">
        <f t="shared" si="21"/>
        <v>#N/A</v>
      </c>
      <c r="X33" s="40">
        <f t="shared" si="25"/>
        <v>446</v>
      </c>
      <c r="Y33" s="47">
        <f t="shared" si="26"/>
        <v>254</v>
      </c>
      <c r="Z33" s="42">
        <f t="shared" si="27"/>
        <v>179</v>
      </c>
      <c r="AA33" s="44">
        <f t="shared" si="27"/>
        <v>145</v>
      </c>
      <c r="AB33" s="45">
        <f t="shared" si="22"/>
        <v>380</v>
      </c>
      <c r="AC33" s="48">
        <f t="shared" si="23"/>
        <v>380</v>
      </c>
      <c r="AD33" s="49" t="e">
        <f t="shared" si="23"/>
        <v>#N/A</v>
      </c>
      <c r="AE33" s="50" t="e">
        <f t="shared" si="23"/>
        <v>#N/A</v>
      </c>
      <c r="AF33" s="51" t="e">
        <f t="shared" si="23"/>
        <v>#N/A</v>
      </c>
      <c r="AG33" s="63">
        <f t="shared" si="28"/>
        <v>446</v>
      </c>
      <c r="AH33" s="63">
        <f t="shared" si="29"/>
        <v>446</v>
      </c>
      <c r="AK33">
        <f t="shared" si="9"/>
        <v>4</v>
      </c>
      <c r="AL33">
        <f t="shared" si="0"/>
        <v>7</v>
      </c>
      <c r="AM33" s="31">
        <f t="shared" si="1"/>
        <v>407</v>
      </c>
      <c r="AN33" s="17"/>
      <c r="AO33" s="12" t="s">
        <v>38</v>
      </c>
      <c r="AP33" s="12" t="s">
        <v>45</v>
      </c>
      <c r="AQ33" s="12">
        <v>1115</v>
      </c>
      <c r="AR33" s="13">
        <v>1</v>
      </c>
      <c r="AS33" s="126">
        <v>28</v>
      </c>
      <c r="AT33" s="14" t="s">
        <v>183</v>
      </c>
    </row>
    <row r="34" spans="1:46">
      <c r="A34" s="54">
        <f>'南国ビーチ(耐性HP換算タイプ)'!AW9</f>
        <v>108</v>
      </c>
      <c r="B34" s="79"/>
      <c r="C34" s="80" t="str">
        <f>'南国ビーチ(耐性HP換算タイプ)'!BC9</f>
        <v>-</v>
      </c>
      <c r="D34" s="8" t="str">
        <f>'南国ビーチ(耐性HP換算タイプ)'!AY9</f>
        <v>トロール</v>
      </c>
      <c r="E34" s="8"/>
      <c r="F34" s="67">
        <f>IF($A34="-","-",O34)</f>
        <v>368</v>
      </c>
      <c r="G34" s="67">
        <f t="shared" ref="G34:J36" si="30">IF($A34="-","-",X34)</f>
        <v>446</v>
      </c>
      <c r="H34" s="67">
        <f t="shared" si="30"/>
        <v>254</v>
      </c>
      <c r="I34" s="65">
        <f t="shared" si="30"/>
        <v>182</v>
      </c>
      <c r="J34" s="10">
        <f t="shared" si="30"/>
        <v>147</v>
      </c>
      <c r="K34" t="str">
        <f>'南国ビーチ(耐性HP換算タイプ)'!AX9</f>
        <v>妖精</v>
      </c>
      <c r="L34">
        <f>'南国ビーチ(耐性HP換算タイプ)'!AZ9</f>
        <v>368</v>
      </c>
      <c r="M34" s="1">
        <f>'南国ビーチ(耐性HP換算タイプ)'!BA9</f>
        <v>1</v>
      </c>
      <c r="N34">
        <f>'南国ビーチ(耐性HP換算タイプ)'!BB9</f>
        <v>10</v>
      </c>
      <c r="O34">
        <f t="shared" si="16"/>
        <v>368</v>
      </c>
      <c r="P34">
        <v>0.5</v>
      </c>
      <c r="Q34">
        <f t="shared" si="24"/>
        <v>0.4</v>
      </c>
      <c r="R34">
        <f t="shared" si="17"/>
        <v>0</v>
      </c>
      <c r="S34">
        <f t="shared" si="18"/>
        <v>0</v>
      </c>
      <c r="U34" s="52">
        <f t="shared" si="19"/>
        <v>368</v>
      </c>
      <c r="V34" s="52" t="e">
        <f t="shared" si="20"/>
        <v>#N/A</v>
      </c>
      <c r="W34" s="52" t="e">
        <f t="shared" si="21"/>
        <v>#N/A</v>
      </c>
      <c r="X34" s="40">
        <f t="shared" si="25"/>
        <v>446</v>
      </c>
      <c r="Y34" s="47">
        <f t="shared" si="26"/>
        <v>254</v>
      </c>
      <c r="Z34" s="42">
        <f t="shared" si="27"/>
        <v>182</v>
      </c>
      <c r="AA34" s="44">
        <f t="shared" si="27"/>
        <v>147</v>
      </c>
      <c r="AB34" s="45">
        <f t="shared" si="22"/>
        <v>368</v>
      </c>
      <c r="AC34" s="48">
        <f t="shared" si="23"/>
        <v>368</v>
      </c>
      <c r="AD34" s="49" t="e">
        <f t="shared" si="23"/>
        <v>#N/A</v>
      </c>
      <c r="AE34" s="50" t="e">
        <f t="shared" si="23"/>
        <v>#N/A</v>
      </c>
      <c r="AF34" s="51" t="e">
        <f t="shared" si="23"/>
        <v>#N/A</v>
      </c>
      <c r="AG34" s="63">
        <f t="shared" si="28"/>
        <v>446</v>
      </c>
      <c r="AH34" s="63">
        <f t="shared" si="29"/>
        <v>446</v>
      </c>
      <c r="AK34">
        <f t="shared" si="9"/>
        <v>5</v>
      </c>
      <c r="AL34">
        <f t="shared" si="0"/>
        <v>1</v>
      </c>
      <c r="AM34" s="29">
        <f t="shared" si="1"/>
        <v>501</v>
      </c>
      <c r="AN34" s="15"/>
      <c r="AO34" s="4" t="s">
        <v>53</v>
      </c>
      <c r="AP34" s="4" t="s">
        <v>54</v>
      </c>
      <c r="AQ34" s="4">
        <v>61</v>
      </c>
      <c r="AR34" s="5">
        <v>0.35</v>
      </c>
      <c r="AS34" s="124">
        <v>11</v>
      </c>
      <c r="AT34" s="6" t="s">
        <v>183</v>
      </c>
    </row>
    <row r="35" spans="1:46">
      <c r="A35" s="54">
        <f>'南国ビーチ(耐性HP換算タイプ)'!AW10</f>
        <v>109</v>
      </c>
      <c r="B35" s="79"/>
      <c r="C35" s="80" t="str">
        <f>'南国ビーチ(耐性HP換算タイプ)'!BC10</f>
        <v>-</v>
      </c>
      <c r="D35" s="8" t="str">
        <f>'南国ビーチ(耐性HP換算タイプ)'!AY10</f>
        <v>オベロン</v>
      </c>
      <c r="E35" s="8"/>
      <c r="F35" s="67">
        <f>IF($A35="-","-",O35)</f>
        <v>616</v>
      </c>
      <c r="G35" s="67">
        <f t="shared" si="30"/>
        <v>446</v>
      </c>
      <c r="H35" s="67">
        <f t="shared" si="30"/>
        <v>254</v>
      </c>
      <c r="I35" s="65">
        <f t="shared" si="30"/>
        <v>168</v>
      </c>
      <c r="J35" s="10">
        <f t="shared" si="30"/>
        <v>136</v>
      </c>
      <c r="K35" t="str">
        <f>'南国ビーチ(耐性HP換算タイプ)'!AX10</f>
        <v>妖精</v>
      </c>
      <c r="L35">
        <f>'南国ビーチ(耐性HP換算タイプ)'!AZ10</f>
        <v>462</v>
      </c>
      <c r="M35" s="1">
        <f>'南国ビーチ(耐性HP換算タイプ)'!BA10</f>
        <v>0.75</v>
      </c>
      <c r="N35">
        <f>'南国ビーチ(耐性HP換算タイプ)'!BB10</f>
        <v>15</v>
      </c>
      <c r="O35">
        <f t="shared" si="16"/>
        <v>616</v>
      </c>
      <c r="P35">
        <v>0.5</v>
      </c>
      <c r="Q35">
        <f t="shared" si="24"/>
        <v>0.4</v>
      </c>
      <c r="R35">
        <f t="shared" si="17"/>
        <v>154</v>
      </c>
      <c r="S35">
        <f t="shared" si="18"/>
        <v>0</v>
      </c>
      <c r="U35" s="52">
        <f t="shared" si="19"/>
        <v>462</v>
      </c>
      <c r="V35" s="52">
        <f t="shared" si="20"/>
        <v>154</v>
      </c>
      <c r="W35" s="52" t="e">
        <f t="shared" si="21"/>
        <v>#N/A</v>
      </c>
      <c r="X35" s="40">
        <f t="shared" si="25"/>
        <v>446</v>
      </c>
      <c r="Y35" s="47">
        <f t="shared" si="26"/>
        <v>254</v>
      </c>
      <c r="Z35" s="42">
        <f t="shared" si="27"/>
        <v>168</v>
      </c>
      <c r="AA35" s="44">
        <f t="shared" si="27"/>
        <v>136</v>
      </c>
      <c r="AB35" s="45">
        <f t="shared" si="22"/>
        <v>616</v>
      </c>
      <c r="AC35" s="48" t="e">
        <f t="shared" si="23"/>
        <v>#N/A</v>
      </c>
      <c r="AD35" s="49" t="e">
        <f t="shared" si="23"/>
        <v>#N/A</v>
      </c>
      <c r="AE35" s="50" t="e">
        <f t="shared" si="23"/>
        <v>#N/A</v>
      </c>
      <c r="AF35" s="51" t="e">
        <f t="shared" si="23"/>
        <v>#N/A</v>
      </c>
      <c r="AG35" s="63">
        <f t="shared" si="28"/>
        <v>616</v>
      </c>
      <c r="AH35" s="63">
        <f t="shared" si="29"/>
        <v>616</v>
      </c>
      <c r="AK35">
        <f t="shared" si="9"/>
        <v>5</v>
      </c>
      <c r="AL35">
        <f t="shared" si="0"/>
        <v>2</v>
      </c>
      <c r="AM35" s="30">
        <f t="shared" si="1"/>
        <v>502</v>
      </c>
      <c r="AN35" s="16"/>
      <c r="AO35" s="8" t="s">
        <v>53</v>
      </c>
      <c r="AP35" s="8" t="s">
        <v>55</v>
      </c>
      <c r="AQ35" s="8">
        <v>83</v>
      </c>
      <c r="AR35" s="9">
        <v>0.25</v>
      </c>
      <c r="AS35" s="125">
        <v>3</v>
      </c>
      <c r="AT35" s="10" t="s">
        <v>183</v>
      </c>
    </row>
    <row r="36" spans="1:46">
      <c r="A36" s="54">
        <f>'南国ビーチ(耐性HP換算タイプ)'!AW11</f>
        <v>110</v>
      </c>
      <c r="B36" s="81"/>
      <c r="C36" s="82" t="str">
        <f>'南国ビーチ(耐性HP換算タイプ)'!BC11</f>
        <v>-</v>
      </c>
      <c r="D36" s="12" t="str">
        <f>'南国ビーチ(耐性HP換算タイプ)'!AY11</f>
        <v>ティターニア</v>
      </c>
      <c r="E36" s="12"/>
      <c r="F36" s="83">
        <f>IF($A36="-","-",O36)</f>
        <v>612</v>
      </c>
      <c r="G36" s="83">
        <f t="shared" si="30"/>
        <v>446</v>
      </c>
      <c r="H36" s="83">
        <f t="shared" si="30"/>
        <v>254</v>
      </c>
      <c r="I36" s="84">
        <f t="shared" si="30"/>
        <v>152</v>
      </c>
      <c r="J36" s="14">
        <f t="shared" si="30"/>
        <v>122</v>
      </c>
      <c r="K36" t="str">
        <f>'南国ビーチ(耐性HP換算タイプ)'!AX11</f>
        <v>妖精</v>
      </c>
      <c r="L36">
        <f>'南国ビーチ(耐性HP換算タイプ)'!AZ11</f>
        <v>459</v>
      </c>
      <c r="M36" s="1">
        <f>'南国ビーチ(耐性HP換算タイプ)'!BA11</f>
        <v>0.75</v>
      </c>
      <c r="N36">
        <f>'南国ビーチ(耐性HP換算タイプ)'!BB11</f>
        <v>21</v>
      </c>
      <c r="O36">
        <f t="shared" si="16"/>
        <v>612</v>
      </c>
      <c r="P36">
        <v>0.5</v>
      </c>
      <c r="Q36">
        <f t="shared" si="24"/>
        <v>0.4</v>
      </c>
      <c r="R36">
        <f t="shared" si="17"/>
        <v>153</v>
      </c>
      <c r="S36">
        <f t="shared" si="18"/>
        <v>0</v>
      </c>
      <c r="U36" s="52">
        <f t="shared" si="19"/>
        <v>459</v>
      </c>
      <c r="V36" s="52">
        <f t="shared" si="20"/>
        <v>153</v>
      </c>
      <c r="W36" s="52" t="e">
        <f>IF(R36&lt;0,R36,#N/A)</f>
        <v>#N/A</v>
      </c>
      <c r="X36" s="40">
        <f t="shared" si="25"/>
        <v>446</v>
      </c>
      <c r="Y36" s="47">
        <f t="shared" si="26"/>
        <v>254</v>
      </c>
      <c r="Z36" s="42">
        <f t="shared" si="27"/>
        <v>152</v>
      </c>
      <c r="AA36" s="44">
        <f t="shared" si="27"/>
        <v>122</v>
      </c>
      <c r="AB36" s="45">
        <f t="shared" si="22"/>
        <v>612</v>
      </c>
      <c r="AC36" s="48" t="e">
        <f t="shared" si="23"/>
        <v>#N/A</v>
      </c>
      <c r="AD36" s="49" t="e">
        <f t="shared" si="23"/>
        <v>#N/A</v>
      </c>
      <c r="AE36" s="50" t="e">
        <f t="shared" si="23"/>
        <v>#N/A</v>
      </c>
      <c r="AF36" s="51" t="e">
        <f t="shared" si="23"/>
        <v>#N/A</v>
      </c>
      <c r="AG36" s="63">
        <f t="shared" si="28"/>
        <v>612</v>
      </c>
      <c r="AH36" s="63">
        <f t="shared" si="29"/>
        <v>612</v>
      </c>
      <c r="AK36">
        <f t="shared" si="9"/>
        <v>5</v>
      </c>
      <c r="AL36">
        <f t="shared" si="0"/>
        <v>3</v>
      </c>
      <c r="AM36" s="30">
        <f t="shared" si="1"/>
        <v>503</v>
      </c>
      <c r="AN36" s="16"/>
      <c r="AO36" s="8" t="s">
        <v>53</v>
      </c>
      <c r="AP36" s="8" t="s">
        <v>56</v>
      </c>
      <c r="AQ36" s="8">
        <v>137</v>
      </c>
      <c r="AR36" s="9">
        <v>0.75</v>
      </c>
      <c r="AS36" s="125">
        <v>4</v>
      </c>
      <c r="AT36" s="10" t="s">
        <v>183</v>
      </c>
    </row>
    <row r="37" spans="1:46">
      <c r="U37" s="52"/>
      <c r="V37" s="52"/>
      <c r="W37" s="52"/>
      <c r="X37" s="40">
        <f>SUMIF($A$27:$A$36,MAX($A$27:$A$36),X$27:X$36)</f>
        <v>446</v>
      </c>
      <c r="Y37" s="47">
        <f>SUMIF($A$27:$A$36,MAX($A$27:$A$36),Y$27:Y$36)</f>
        <v>254</v>
      </c>
      <c r="Z37" s="42">
        <f>SUMIF($A$27:$A$36,MAX($A$27:$A$36),Z$27:Z$36)</f>
        <v>152</v>
      </c>
      <c r="AA37" s="44">
        <f>SUMIF($A$27:$A$36,MAX($A$27:$A$36),AA$27:AA$36)</f>
        <v>122</v>
      </c>
      <c r="AB37" s="45"/>
      <c r="AC37" s="48"/>
      <c r="AD37" s="49"/>
      <c r="AE37" s="50"/>
      <c r="AF37" s="51"/>
      <c r="AG37" s="63"/>
      <c r="AH37" s="63"/>
      <c r="AK37">
        <f t="shared" si="9"/>
        <v>5</v>
      </c>
      <c r="AL37">
        <f t="shared" si="0"/>
        <v>4</v>
      </c>
      <c r="AM37" s="30">
        <f t="shared" si="1"/>
        <v>504</v>
      </c>
      <c r="AN37" s="16"/>
      <c r="AO37" s="8" t="s">
        <v>53</v>
      </c>
      <c r="AP37" s="8" t="s">
        <v>57</v>
      </c>
      <c r="AQ37" s="8">
        <v>125</v>
      </c>
      <c r="AR37" s="9">
        <v>0.25</v>
      </c>
      <c r="AS37" s="125">
        <v>6</v>
      </c>
      <c r="AT37" s="10" t="s">
        <v>183</v>
      </c>
    </row>
    <row r="38" spans="1:46">
      <c r="B38" s="89" t="s">
        <v>178</v>
      </c>
      <c r="C38" s="90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K38">
        <f t="shared" si="9"/>
        <v>5</v>
      </c>
      <c r="AL38">
        <f t="shared" si="0"/>
        <v>5</v>
      </c>
      <c r="AM38" s="30">
        <f t="shared" si="1"/>
        <v>505</v>
      </c>
      <c r="AN38" s="16"/>
      <c r="AO38" s="8" t="s">
        <v>53</v>
      </c>
      <c r="AP38" s="8" t="s">
        <v>58</v>
      </c>
      <c r="AQ38" s="8">
        <v>182</v>
      </c>
      <c r="AR38" s="9">
        <v>0.25</v>
      </c>
      <c r="AS38" s="125">
        <v>5</v>
      </c>
      <c r="AT38" s="10" t="s">
        <v>183</v>
      </c>
    </row>
    <row r="39" spans="1:46">
      <c r="A39" s="54" t="str">
        <f>'南国ビーチ(耐性HP換算タイプ)'!AW14</f>
        <v>-</v>
      </c>
      <c r="B39" s="85"/>
      <c r="C39" s="86" t="str">
        <f>'南国ビーチ(耐性HP換算タイプ)'!BC14</f>
        <v>-</v>
      </c>
      <c r="D39" s="4" t="str">
        <f>'南国ビーチ(耐性HP換算タイプ)'!AY14</f>
        <v>-</v>
      </c>
      <c r="E39" s="4"/>
      <c r="F39" s="87" t="str">
        <f t="shared" ref="F39:F45" si="31">IF($A39="-","-",O39)</f>
        <v>-</v>
      </c>
      <c r="G39" s="87" t="str">
        <f t="shared" ref="G39:J45" si="32">IF($A39="-","-",X39)</f>
        <v>-</v>
      </c>
      <c r="H39" s="87" t="str">
        <f t="shared" si="32"/>
        <v>-</v>
      </c>
      <c r="I39" s="88" t="str">
        <f t="shared" si="32"/>
        <v>-</v>
      </c>
      <c r="J39" s="6" t="str">
        <f t="shared" si="32"/>
        <v>-</v>
      </c>
      <c r="K39" t="e">
        <f>'南国ビーチ(耐性HP換算タイプ)'!AX14</f>
        <v>#N/A</v>
      </c>
      <c r="L39" t="e">
        <f>'南国ビーチ(耐性HP換算タイプ)'!AZ14</f>
        <v>#N/A</v>
      </c>
      <c r="M39" t="str">
        <f>'南国ビーチ(耐性HP換算タイプ)'!BA14</f>
        <v>-</v>
      </c>
      <c r="N39" t="e">
        <f>'南国ビーチ(耐性HP換算タイプ)'!BB14</f>
        <v>#N/A</v>
      </c>
      <c r="O39" t="e">
        <f>ROUNDDOWN(L39/M39,0)</f>
        <v>#N/A</v>
      </c>
      <c r="P39">
        <v>0.5</v>
      </c>
      <c r="Q39">
        <f t="shared" ref="Q39:Q45" si="33">SUMIF($H$4:$H$19,K39,$J$4:$J$19)</f>
        <v>0</v>
      </c>
      <c r="X39" t="e">
        <f t="shared" ref="X39:X45" si="34">ROUNDDOWN(($D$3*$P39+1-$N39*0)*1*(1+$D$4)*(1+$D$5+$Q39)*X$24*(1+$D$6),0)*MAX(1,$B$10)</f>
        <v>#N/A</v>
      </c>
      <c r="Y39" t="e">
        <f t="shared" ref="Y39:Y45" si="35">ROUNDDOWN(($D$3*$P39+1-$N39*0)*1*(1+$D$4)*(1+$D$5+$Q39)*Y$24,0)*MAX(1,$B$10)</f>
        <v>#N/A</v>
      </c>
      <c r="Z39" t="e">
        <f t="shared" ref="Z39:AA45" si="36">ROUNDDOWN(($D$3*$P39+1-$N39)*1*(1+$D$4)*(1+$D$5+$Q39)*Z$24,0)*MAX(1,$B$10)</f>
        <v>#N/A</v>
      </c>
      <c r="AA39" t="e">
        <f t="shared" si="36"/>
        <v>#N/A</v>
      </c>
      <c r="AK39">
        <f t="shared" si="9"/>
        <v>5</v>
      </c>
      <c r="AL39">
        <f t="shared" si="0"/>
        <v>6</v>
      </c>
      <c r="AM39" s="30">
        <f t="shared" si="1"/>
        <v>506</v>
      </c>
      <c r="AN39" s="16"/>
      <c r="AO39" s="8" t="s">
        <v>53</v>
      </c>
      <c r="AP39" s="8" t="s">
        <v>59</v>
      </c>
      <c r="AQ39" s="8">
        <v>198</v>
      </c>
      <c r="AR39" s="9">
        <v>0.35</v>
      </c>
      <c r="AS39" s="125">
        <v>14</v>
      </c>
      <c r="AT39" s="10" t="s">
        <v>182</v>
      </c>
    </row>
    <row r="40" spans="1:46">
      <c r="A40" s="54" t="str">
        <f>'南国ビーチ(耐性HP換算タイプ)'!AW15</f>
        <v>-</v>
      </c>
      <c r="B40" s="79"/>
      <c r="C40" s="80" t="str">
        <f>'南国ビーチ(耐性HP換算タイプ)'!BC15</f>
        <v>-</v>
      </c>
      <c r="D40" s="8" t="str">
        <f>'南国ビーチ(耐性HP換算タイプ)'!AY15</f>
        <v>-</v>
      </c>
      <c r="E40" s="8"/>
      <c r="F40" s="67" t="str">
        <f t="shared" si="31"/>
        <v>-</v>
      </c>
      <c r="G40" s="67" t="str">
        <f t="shared" si="32"/>
        <v>-</v>
      </c>
      <c r="H40" s="67" t="str">
        <f t="shared" si="32"/>
        <v>-</v>
      </c>
      <c r="I40" s="65" t="str">
        <f t="shared" si="32"/>
        <v>-</v>
      </c>
      <c r="J40" s="10" t="str">
        <f t="shared" si="32"/>
        <v>-</v>
      </c>
      <c r="K40" t="e">
        <f>'南国ビーチ(耐性HP換算タイプ)'!AX15</f>
        <v>#N/A</v>
      </c>
      <c r="L40" t="e">
        <f>'南国ビーチ(耐性HP換算タイプ)'!AZ15</f>
        <v>#N/A</v>
      </c>
      <c r="M40" t="str">
        <f>'南国ビーチ(耐性HP換算タイプ)'!BA15</f>
        <v>-</v>
      </c>
      <c r="N40" t="e">
        <f>'南国ビーチ(耐性HP換算タイプ)'!BB15</f>
        <v>#N/A</v>
      </c>
      <c r="O40" t="e">
        <f t="shared" ref="O40:O45" si="37">ROUNDDOWN(L40/M40,0)</f>
        <v>#N/A</v>
      </c>
      <c r="P40">
        <v>1.5</v>
      </c>
      <c r="Q40">
        <f t="shared" si="33"/>
        <v>0</v>
      </c>
      <c r="X40" t="e">
        <f t="shared" si="34"/>
        <v>#N/A</v>
      </c>
      <c r="Y40" t="e">
        <f t="shared" si="35"/>
        <v>#N/A</v>
      </c>
      <c r="Z40" t="e">
        <f t="shared" si="36"/>
        <v>#N/A</v>
      </c>
      <c r="AA40" t="e">
        <f t="shared" si="36"/>
        <v>#N/A</v>
      </c>
      <c r="AK40">
        <f t="shared" si="9"/>
        <v>5</v>
      </c>
      <c r="AL40">
        <f t="shared" si="0"/>
        <v>7</v>
      </c>
      <c r="AM40" s="31">
        <f t="shared" si="1"/>
        <v>507</v>
      </c>
      <c r="AN40" s="17"/>
      <c r="AO40" s="12" t="s">
        <v>53</v>
      </c>
      <c r="AP40" s="12" t="s">
        <v>60</v>
      </c>
      <c r="AQ40" s="12">
        <v>50770</v>
      </c>
      <c r="AR40" s="13">
        <v>0.35</v>
      </c>
      <c r="AS40" s="126">
        <v>31</v>
      </c>
      <c r="AT40" s="14" t="s">
        <v>183</v>
      </c>
    </row>
    <row r="41" spans="1:46">
      <c r="A41" s="54" t="str">
        <f>'南国ビーチ(耐性HP換算タイプ)'!AW16</f>
        <v>-</v>
      </c>
      <c r="B41" s="79"/>
      <c r="C41" s="80" t="str">
        <f>'南国ビーチ(耐性HP換算タイプ)'!BC16</f>
        <v>-</v>
      </c>
      <c r="D41" s="8" t="str">
        <f>'南国ビーチ(耐性HP換算タイプ)'!AY16</f>
        <v>-</v>
      </c>
      <c r="E41" s="8"/>
      <c r="F41" s="67" t="str">
        <f t="shared" si="31"/>
        <v>-</v>
      </c>
      <c r="G41" s="67" t="str">
        <f t="shared" si="32"/>
        <v>-</v>
      </c>
      <c r="H41" s="67" t="str">
        <f t="shared" si="32"/>
        <v>-</v>
      </c>
      <c r="I41" s="65" t="str">
        <f t="shared" si="32"/>
        <v>-</v>
      </c>
      <c r="J41" s="10" t="str">
        <f t="shared" si="32"/>
        <v>-</v>
      </c>
      <c r="K41" t="e">
        <f>'南国ビーチ(耐性HP換算タイプ)'!AX16</f>
        <v>#N/A</v>
      </c>
      <c r="L41" t="e">
        <f>'南国ビーチ(耐性HP換算タイプ)'!AZ16</f>
        <v>#N/A</v>
      </c>
      <c r="M41" t="str">
        <f>'南国ビーチ(耐性HP換算タイプ)'!BA16</f>
        <v>-</v>
      </c>
      <c r="N41" t="e">
        <f>'南国ビーチ(耐性HP換算タイプ)'!BB16</f>
        <v>#N/A</v>
      </c>
      <c r="O41" t="e">
        <f t="shared" si="37"/>
        <v>#N/A</v>
      </c>
      <c r="P41">
        <v>2.5</v>
      </c>
      <c r="Q41">
        <f t="shared" si="33"/>
        <v>0</v>
      </c>
      <c r="X41" t="e">
        <f t="shared" si="34"/>
        <v>#N/A</v>
      </c>
      <c r="Y41" t="e">
        <f t="shared" si="35"/>
        <v>#N/A</v>
      </c>
      <c r="Z41" t="e">
        <f t="shared" si="36"/>
        <v>#N/A</v>
      </c>
      <c r="AA41" t="e">
        <f t="shared" si="36"/>
        <v>#N/A</v>
      </c>
      <c r="AK41">
        <f t="shared" si="9"/>
        <v>6</v>
      </c>
      <c r="AL41">
        <f t="shared" si="0"/>
        <v>1</v>
      </c>
      <c r="AM41" s="29">
        <f t="shared" si="1"/>
        <v>601</v>
      </c>
      <c r="AN41" s="15"/>
      <c r="AO41" s="4" t="s">
        <v>121</v>
      </c>
      <c r="AP41" s="4" t="s">
        <v>89</v>
      </c>
      <c r="AQ41" s="4">
        <v>95</v>
      </c>
      <c r="AR41" s="5">
        <v>0.35</v>
      </c>
      <c r="AS41" s="124">
        <v>7</v>
      </c>
      <c r="AT41" s="6" t="s">
        <v>183</v>
      </c>
    </row>
    <row r="42" spans="1:46">
      <c r="A42" s="54" t="str">
        <f>'南国ビーチ(耐性HP換算タイプ)'!AW17</f>
        <v>-</v>
      </c>
      <c r="B42" s="79"/>
      <c r="C42" s="80" t="str">
        <f>'南国ビーチ(耐性HP換算タイプ)'!BC17</f>
        <v>-</v>
      </c>
      <c r="D42" s="8" t="str">
        <f>'南国ビーチ(耐性HP換算タイプ)'!AY17</f>
        <v>-</v>
      </c>
      <c r="E42" s="8"/>
      <c r="F42" s="67" t="str">
        <f t="shared" si="31"/>
        <v>-</v>
      </c>
      <c r="G42" s="67" t="str">
        <f t="shared" si="32"/>
        <v>-</v>
      </c>
      <c r="H42" s="67" t="str">
        <f t="shared" si="32"/>
        <v>-</v>
      </c>
      <c r="I42" s="65" t="str">
        <f t="shared" si="32"/>
        <v>-</v>
      </c>
      <c r="J42" s="10" t="str">
        <f t="shared" si="32"/>
        <v>-</v>
      </c>
      <c r="K42" t="e">
        <f>'南国ビーチ(耐性HP換算タイプ)'!AX17</f>
        <v>#N/A</v>
      </c>
      <c r="L42" t="e">
        <f>'南国ビーチ(耐性HP換算タイプ)'!AZ17</f>
        <v>#N/A</v>
      </c>
      <c r="M42" t="str">
        <f>'南国ビーチ(耐性HP換算タイプ)'!BA17</f>
        <v>-</v>
      </c>
      <c r="N42" t="e">
        <f>'南国ビーチ(耐性HP換算タイプ)'!BB17</f>
        <v>#N/A</v>
      </c>
      <c r="O42" t="e">
        <f t="shared" si="37"/>
        <v>#N/A</v>
      </c>
      <c r="P42">
        <v>3.5</v>
      </c>
      <c r="Q42">
        <f t="shared" si="33"/>
        <v>0</v>
      </c>
      <c r="X42" t="e">
        <f t="shared" si="34"/>
        <v>#N/A</v>
      </c>
      <c r="Y42" t="e">
        <f t="shared" si="35"/>
        <v>#N/A</v>
      </c>
      <c r="Z42" t="e">
        <f t="shared" si="36"/>
        <v>#N/A</v>
      </c>
      <c r="AA42" t="e">
        <f t="shared" si="36"/>
        <v>#N/A</v>
      </c>
      <c r="AK42">
        <f t="shared" si="9"/>
        <v>6</v>
      </c>
      <c r="AL42">
        <f t="shared" si="0"/>
        <v>2</v>
      </c>
      <c r="AM42" s="30">
        <f t="shared" si="1"/>
        <v>602</v>
      </c>
      <c r="AN42" s="16"/>
      <c r="AO42" s="8" t="s">
        <v>121</v>
      </c>
      <c r="AP42" s="8" t="s">
        <v>90</v>
      </c>
      <c r="AQ42" s="8">
        <v>114</v>
      </c>
      <c r="AR42" s="9">
        <v>0.5</v>
      </c>
      <c r="AS42" s="125">
        <v>3</v>
      </c>
      <c r="AT42" s="10" t="s">
        <v>183</v>
      </c>
    </row>
    <row r="43" spans="1:46">
      <c r="A43" s="54" t="str">
        <f>'南国ビーチ(耐性HP換算タイプ)'!AW18</f>
        <v>-</v>
      </c>
      <c r="B43" s="79"/>
      <c r="C43" s="80" t="str">
        <f>'南国ビーチ(耐性HP換算タイプ)'!BC18</f>
        <v>-</v>
      </c>
      <c r="D43" s="8" t="str">
        <f>'南国ビーチ(耐性HP換算タイプ)'!AY18</f>
        <v>-</v>
      </c>
      <c r="E43" s="8"/>
      <c r="F43" s="67" t="str">
        <f t="shared" si="31"/>
        <v>-</v>
      </c>
      <c r="G43" s="67" t="str">
        <f t="shared" si="32"/>
        <v>-</v>
      </c>
      <c r="H43" s="67" t="str">
        <f t="shared" si="32"/>
        <v>-</v>
      </c>
      <c r="I43" s="65" t="str">
        <f t="shared" si="32"/>
        <v>-</v>
      </c>
      <c r="J43" s="10" t="str">
        <f t="shared" si="32"/>
        <v>-</v>
      </c>
      <c r="K43" t="e">
        <f>'南国ビーチ(耐性HP換算タイプ)'!AX18</f>
        <v>#N/A</v>
      </c>
      <c r="L43" t="e">
        <f>'南国ビーチ(耐性HP換算タイプ)'!AZ18</f>
        <v>#N/A</v>
      </c>
      <c r="M43" t="str">
        <f>'南国ビーチ(耐性HP換算タイプ)'!BA18</f>
        <v>-</v>
      </c>
      <c r="N43" t="e">
        <f>'南国ビーチ(耐性HP換算タイプ)'!BB18</f>
        <v>#N/A</v>
      </c>
      <c r="O43" t="e">
        <f t="shared" si="37"/>
        <v>#N/A</v>
      </c>
      <c r="P43">
        <v>4.5</v>
      </c>
      <c r="Q43">
        <f t="shared" si="33"/>
        <v>0</v>
      </c>
      <c r="X43" t="e">
        <f t="shared" si="34"/>
        <v>#N/A</v>
      </c>
      <c r="Y43" t="e">
        <f t="shared" si="35"/>
        <v>#N/A</v>
      </c>
      <c r="Z43" t="e">
        <f t="shared" si="36"/>
        <v>#N/A</v>
      </c>
      <c r="AA43" t="e">
        <f t="shared" si="36"/>
        <v>#N/A</v>
      </c>
      <c r="AK43">
        <f t="shared" si="9"/>
        <v>6</v>
      </c>
      <c r="AL43">
        <f t="shared" si="0"/>
        <v>3</v>
      </c>
      <c r="AM43" s="30">
        <f t="shared" si="1"/>
        <v>603</v>
      </c>
      <c r="AN43" s="16"/>
      <c r="AO43" s="8" t="s">
        <v>121</v>
      </c>
      <c r="AP43" s="8" t="s">
        <v>91</v>
      </c>
      <c r="AQ43" s="8">
        <v>156</v>
      </c>
      <c r="AR43" s="9">
        <v>0.5</v>
      </c>
      <c r="AS43" s="125">
        <v>3</v>
      </c>
      <c r="AT43" s="10" t="s">
        <v>183</v>
      </c>
    </row>
    <row r="44" spans="1:46">
      <c r="A44" s="54" t="str">
        <f>'南国ビーチ(耐性HP換算タイプ)'!AW19</f>
        <v>-</v>
      </c>
      <c r="B44" s="79"/>
      <c r="C44" s="80" t="str">
        <f>'南国ビーチ(耐性HP換算タイプ)'!BC19</f>
        <v>-</v>
      </c>
      <c r="D44" s="8" t="str">
        <f>'南国ビーチ(耐性HP換算タイプ)'!AY19</f>
        <v>-</v>
      </c>
      <c r="E44" s="8"/>
      <c r="F44" s="67" t="str">
        <f t="shared" si="31"/>
        <v>-</v>
      </c>
      <c r="G44" s="67" t="str">
        <f t="shared" si="32"/>
        <v>-</v>
      </c>
      <c r="H44" s="67" t="str">
        <f t="shared" si="32"/>
        <v>-</v>
      </c>
      <c r="I44" s="65" t="str">
        <f t="shared" si="32"/>
        <v>-</v>
      </c>
      <c r="J44" s="10" t="str">
        <f t="shared" si="32"/>
        <v>-</v>
      </c>
      <c r="K44" t="e">
        <f>'南国ビーチ(耐性HP換算タイプ)'!AX19</f>
        <v>#N/A</v>
      </c>
      <c r="L44" t="e">
        <f>'南国ビーチ(耐性HP換算タイプ)'!AZ19</f>
        <v>#N/A</v>
      </c>
      <c r="M44" t="str">
        <f>'南国ビーチ(耐性HP換算タイプ)'!BA19</f>
        <v>-</v>
      </c>
      <c r="N44" t="e">
        <f>'南国ビーチ(耐性HP換算タイプ)'!BB19</f>
        <v>#N/A</v>
      </c>
      <c r="O44" t="e">
        <f t="shared" si="37"/>
        <v>#N/A</v>
      </c>
      <c r="P44">
        <v>5.5</v>
      </c>
      <c r="Q44">
        <f t="shared" si="33"/>
        <v>0</v>
      </c>
      <c r="X44" t="e">
        <f t="shared" si="34"/>
        <v>#N/A</v>
      </c>
      <c r="Y44" t="e">
        <f t="shared" si="35"/>
        <v>#N/A</v>
      </c>
      <c r="Z44" t="e">
        <f t="shared" si="36"/>
        <v>#N/A</v>
      </c>
      <c r="AA44" t="e">
        <f t="shared" si="36"/>
        <v>#N/A</v>
      </c>
      <c r="AK44">
        <f t="shared" si="9"/>
        <v>6</v>
      </c>
      <c r="AL44">
        <f t="shared" si="0"/>
        <v>4</v>
      </c>
      <c r="AM44" s="30">
        <f t="shared" si="1"/>
        <v>604</v>
      </c>
      <c r="AN44" s="16"/>
      <c r="AO44" s="8" t="s">
        <v>121</v>
      </c>
      <c r="AP44" s="8" t="s">
        <v>92</v>
      </c>
      <c r="AQ44" s="8">
        <v>168</v>
      </c>
      <c r="AR44" s="9">
        <v>0.35</v>
      </c>
      <c r="AS44" s="125">
        <v>6</v>
      </c>
      <c r="AT44" s="10" t="s">
        <v>183</v>
      </c>
    </row>
    <row r="45" spans="1:46">
      <c r="A45" s="54" t="str">
        <f>'南国ビーチ(耐性HP換算タイプ)'!AW20</f>
        <v>-</v>
      </c>
      <c r="B45" s="81"/>
      <c r="C45" s="82" t="str">
        <f>'南国ビーチ(耐性HP換算タイプ)'!BC20</f>
        <v>-</v>
      </c>
      <c r="D45" s="12" t="str">
        <f>'南国ビーチ(耐性HP換算タイプ)'!AY20</f>
        <v>-</v>
      </c>
      <c r="E45" s="12"/>
      <c r="F45" s="83" t="str">
        <f t="shared" si="31"/>
        <v>-</v>
      </c>
      <c r="G45" s="83" t="str">
        <f t="shared" si="32"/>
        <v>-</v>
      </c>
      <c r="H45" s="83" t="str">
        <f t="shared" si="32"/>
        <v>-</v>
      </c>
      <c r="I45" s="84" t="str">
        <f t="shared" si="32"/>
        <v>-</v>
      </c>
      <c r="J45" s="14" t="str">
        <f t="shared" si="32"/>
        <v>-</v>
      </c>
      <c r="K45" t="e">
        <f>'南国ビーチ(耐性HP換算タイプ)'!AX20</f>
        <v>#N/A</v>
      </c>
      <c r="L45" t="e">
        <f>'南国ビーチ(耐性HP換算タイプ)'!AZ20</f>
        <v>#N/A</v>
      </c>
      <c r="M45" t="str">
        <f>'南国ビーチ(耐性HP換算タイプ)'!BA20</f>
        <v>-</v>
      </c>
      <c r="N45" t="e">
        <f>'南国ビーチ(耐性HP換算タイプ)'!BB20</f>
        <v>#N/A</v>
      </c>
      <c r="O45" t="e">
        <f t="shared" si="37"/>
        <v>#N/A</v>
      </c>
      <c r="P45">
        <v>6.5</v>
      </c>
      <c r="Q45">
        <f t="shared" si="33"/>
        <v>0</v>
      </c>
      <c r="X45" t="e">
        <f t="shared" si="34"/>
        <v>#N/A</v>
      </c>
      <c r="Y45" t="e">
        <f t="shared" si="35"/>
        <v>#N/A</v>
      </c>
      <c r="Z45" t="e">
        <f t="shared" si="36"/>
        <v>#N/A</v>
      </c>
      <c r="AA45" t="e">
        <f t="shared" si="36"/>
        <v>#N/A</v>
      </c>
      <c r="AK45">
        <f t="shared" si="9"/>
        <v>6</v>
      </c>
      <c r="AL45">
        <f t="shared" si="0"/>
        <v>5</v>
      </c>
      <c r="AM45" s="30">
        <f t="shared" si="1"/>
        <v>605</v>
      </c>
      <c r="AN45" s="16"/>
      <c r="AO45" s="8" t="s">
        <v>121</v>
      </c>
      <c r="AP45" s="8" t="s">
        <v>93</v>
      </c>
      <c r="AQ45" s="8">
        <v>206</v>
      </c>
      <c r="AR45" s="9">
        <v>0.5</v>
      </c>
      <c r="AS45" s="125">
        <v>9</v>
      </c>
      <c r="AT45" s="10" t="s">
        <v>183</v>
      </c>
    </row>
    <row r="46" spans="1:46">
      <c r="AK46">
        <f t="shared" si="9"/>
        <v>6</v>
      </c>
      <c r="AL46">
        <f t="shared" si="0"/>
        <v>6</v>
      </c>
      <c r="AM46" s="30">
        <f t="shared" si="1"/>
        <v>606</v>
      </c>
      <c r="AN46" s="16"/>
      <c r="AO46" s="8" t="s">
        <v>121</v>
      </c>
      <c r="AP46" s="8" t="s">
        <v>94</v>
      </c>
      <c r="AQ46" s="8">
        <v>1062</v>
      </c>
      <c r="AR46" s="9">
        <v>0.25</v>
      </c>
      <c r="AS46" s="125">
        <v>11</v>
      </c>
      <c r="AT46" s="10" t="s">
        <v>183</v>
      </c>
    </row>
    <row r="47" spans="1:46">
      <c r="AK47">
        <f t="shared" si="9"/>
        <v>6</v>
      </c>
      <c r="AL47">
        <f t="shared" si="0"/>
        <v>7</v>
      </c>
      <c r="AM47" s="31">
        <f t="shared" si="1"/>
        <v>607</v>
      </c>
      <c r="AN47" s="17"/>
      <c r="AO47" s="12" t="s">
        <v>121</v>
      </c>
      <c r="AP47" s="12" t="s">
        <v>95</v>
      </c>
      <c r="AQ47" s="12">
        <v>1401</v>
      </c>
      <c r="AR47" s="13">
        <v>0.35</v>
      </c>
      <c r="AS47" s="126">
        <v>21</v>
      </c>
      <c r="AT47" s="14" t="s">
        <v>183</v>
      </c>
    </row>
    <row r="48" spans="1:46">
      <c r="AK48">
        <f t="shared" si="9"/>
        <v>7</v>
      </c>
      <c r="AL48">
        <f t="shared" si="0"/>
        <v>1</v>
      </c>
      <c r="AM48" s="29">
        <f t="shared" si="1"/>
        <v>701</v>
      </c>
      <c r="AN48" s="15"/>
      <c r="AO48" s="4" t="s">
        <v>61</v>
      </c>
      <c r="AP48" s="4" t="s">
        <v>62</v>
      </c>
      <c r="AQ48" s="4">
        <v>150</v>
      </c>
      <c r="AR48" s="5">
        <v>0.5</v>
      </c>
      <c r="AS48" s="124">
        <v>1</v>
      </c>
      <c r="AT48" s="6" t="s">
        <v>183</v>
      </c>
    </row>
    <row r="49" spans="37:46">
      <c r="AK49">
        <f t="shared" si="9"/>
        <v>7</v>
      </c>
      <c r="AL49">
        <f t="shared" si="0"/>
        <v>2</v>
      </c>
      <c r="AM49" s="30">
        <f t="shared" si="1"/>
        <v>702</v>
      </c>
      <c r="AN49" s="16"/>
      <c r="AO49" s="8" t="s">
        <v>61</v>
      </c>
      <c r="AP49" s="8" t="s">
        <v>63</v>
      </c>
      <c r="AQ49" s="8">
        <v>179</v>
      </c>
      <c r="AR49" s="9">
        <v>1</v>
      </c>
      <c r="AS49" s="125">
        <v>18</v>
      </c>
      <c r="AT49" s="10" t="s">
        <v>183</v>
      </c>
    </row>
    <row r="50" spans="37:46">
      <c r="AK50">
        <f t="shared" si="9"/>
        <v>7</v>
      </c>
      <c r="AL50">
        <f t="shared" si="0"/>
        <v>3</v>
      </c>
      <c r="AM50" s="30">
        <f t="shared" si="1"/>
        <v>703</v>
      </c>
      <c r="AN50" s="16"/>
      <c r="AO50" s="8" t="s">
        <v>61</v>
      </c>
      <c r="AP50" s="8" t="s">
        <v>64</v>
      </c>
      <c r="AQ50" s="8">
        <v>210</v>
      </c>
      <c r="AR50" s="9">
        <v>1</v>
      </c>
      <c r="AS50" s="125">
        <v>7</v>
      </c>
      <c r="AT50" s="10" t="s">
        <v>183</v>
      </c>
    </row>
    <row r="51" spans="37:46">
      <c r="AK51">
        <f t="shared" si="9"/>
        <v>7</v>
      </c>
      <c r="AL51">
        <f t="shared" si="0"/>
        <v>4</v>
      </c>
      <c r="AM51" s="30">
        <f t="shared" si="1"/>
        <v>704</v>
      </c>
      <c r="AN51" s="16"/>
      <c r="AO51" s="8" t="s">
        <v>61</v>
      </c>
      <c r="AP51" s="8" t="s">
        <v>65</v>
      </c>
      <c r="AQ51" s="8">
        <v>278</v>
      </c>
      <c r="AR51" s="9">
        <v>0.65</v>
      </c>
      <c r="AS51" s="125">
        <v>17</v>
      </c>
      <c r="AT51" s="10" t="s">
        <v>183</v>
      </c>
    </row>
    <row r="52" spans="37:46">
      <c r="AK52">
        <f t="shared" si="9"/>
        <v>7</v>
      </c>
      <c r="AL52">
        <f t="shared" si="0"/>
        <v>5</v>
      </c>
      <c r="AM52" s="31">
        <f t="shared" si="1"/>
        <v>705</v>
      </c>
      <c r="AN52" s="17"/>
      <c r="AO52" s="12" t="s">
        <v>61</v>
      </c>
      <c r="AP52" s="12" t="s">
        <v>66</v>
      </c>
      <c r="AQ52" s="12">
        <v>1421</v>
      </c>
      <c r="AR52" s="13">
        <v>1.4</v>
      </c>
      <c r="AS52" s="126">
        <v>36</v>
      </c>
      <c r="AT52" s="14" t="s">
        <v>183</v>
      </c>
    </row>
    <row r="53" spans="37:46">
      <c r="AK53">
        <f t="shared" si="9"/>
        <v>8</v>
      </c>
      <c r="AL53">
        <f t="shared" si="0"/>
        <v>1</v>
      </c>
      <c r="AM53" s="29">
        <f t="shared" si="1"/>
        <v>801</v>
      </c>
      <c r="AN53" s="15"/>
      <c r="AO53" s="4" t="s">
        <v>46</v>
      </c>
      <c r="AP53" s="4" t="s">
        <v>47</v>
      </c>
      <c r="AQ53" s="4">
        <v>105</v>
      </c>
      <c r="AR53" s="5">
        <v>0.35</v>
      </c>
      <c r="AS53" s="124">
        <v>16</v>
      </c>
      <c r="AT53" s="6" t="s">
        <v>183</v>
      </c>
    </row>
    <row r="54" spans="37:46">
      <c r="AK54">
        <f t="shared" si="9"/>
        <v>8</v>
      </c>
      <c r="AL54">
        <f t="shared" si="0"/>
        <v>2</v>
      </c>
      <c r="AM54" s="30">
        <f t="shared" si="1"/>
        <v>802</v>
      </c>
      <c r="AN54" s="16"/>
      <c r="AO54" s="8" t="s">
        <v>46</v>
      </c>
      <c r="AP54" s="8" t="s">
        <v>48</v>
      </c>
      <c r="AQ54" s="8">
        <v>144</v>
      </c>
      <c r="AR54" s="9">
        <v>0.35</v>
      </c>
      <c r="AS54" s="125">
        <v>19</v>
      </c>
      <c r="AT54" s="10" t="s">
        <v>183</v>
      </c>
    </row>
    <row r="55" spans="37:46">
      <c r="AK55">
        <f t="shared" si="9"/>
        <v>8</v>
      </c>
      <c r="AL55">
        <f t="shared" si="0"/>
        <v>3</v>
      </c>
      <c r="AM55" s="30">
        <f t="shared" si="1"/>
        <v>803</v>
      </c>
      <c r="AN55" s="16"/>
      <c r="AO55" s="8" t="s">
        <v>46</v>
      </c>
      <c r="AP55" s="8" t="s">
        <v>49</v>
      </c>
      <c r="AQ55" s="8">
        <v>158</v>
      </c>
      <c r="AR55" s="9">
        <v>0.75</v>
      </c>
      <c r="AS55" s="125">
        <v>17</v>
      </c>
      <c r="AT55" s="10" t="s">
        <v>183</v>
      </c>
    </row>
    <row r="56" spans="37:46">
      <c r="AK56">
        <f t="shared" si="9"/>
        <v>8</v>
      </c>
      <c r="AL56">
        <f t="shared" si="0"/>
        <v>4</v>
      </c>
      <c r="AM56" s="30">
        <f t="shared" si="1"/>
        <v>804</v>
      </c>
      <c r="AN56" s="16"/>
      <c r="AO56" s="8" t="s">
        <v>46</v>
      </c>
      <c r="AP56" s="8" t="s">
        <v>52</v>
      </c>
      <c r="AQ56" s="8">
        <v>270</v>
      </c>
      <c r="AR56" s="9">
        <v>2</v>
      </c>
      <c r="AS56" s="125">
        <v>9</v>
      </c>
      <c r="AT56" s="10" t="s">
        <v>183</v>
      </c>
    </row>
    <row r="57" spans="37:46">
      <c r="AK57">
        <f t="shared" si="9"/>
        <v>8</v>
      </c>
      <c r="AL57">
        <f t="shared" si="0"/>
        <v>5</v>
      </c>
      <c r="AM57" s="30">
        <f t="shared" si="1"/>
        <v>805</v>
      </c>
      <c r="AN57" s="16"/>
      <c r="AO57" s="8" t="s">
        <v>46</v>
      </c>
      <c r="AP57" s="8" t="s">
        <v>50</v>
      </c>
      <c r="AQ57" s="8">
        <v>278</v>
      </c>
      <c r="AR57" s="9">
        <v>0.75</v>
      </c>
      <c r="AS57" s="125">
        <v>31</v>
      </c>
      <c r="AT57" s="10" t="s">
        <v>183</v>
      </c>
    </row>
    <row r="58" spans="37:46">
      <c r="AK58">
        <f t="shared" si="9"/>
        <v>8</v>
      </c>
      <c r="AL58">
        <f t="shared" si="0"/>
        <v>6</v>
      </c>
      <c r="AM58" s="30">
        <f t="shared" si="1"/>
        <v>806</v>
      </c>
      <c r="AN58" s="16"/>
      <c r="AO58" s="8" t="s">
        <v>46</v>
      </c>
      <c r="AP58" s="8" t="s">
        <v>185</v>
      </c>
      <c r="AQ58" s="8">
        <v>711</v>
      </c>
      <c r="AR58" s="9">
        <v>0.7</v>
      </c>
      <c r="AS58" s="125">
        <v>25</v>
      </c>
      <c r="AT58" s="10" t="s">
        <v>183</v>
      </c>
    </row>
    <row r="59" spans="37:46">
      <c r="AK59">
        <f t="shared" si="9"/>
        <v>8</v>
      </c>
      <c r="AL59">
        <f t="shared" si="0"/>
        <v>7</v>
      </c>
      <c r="AM59" s="30">
        <f t="shared" si="1"/>
        <v>807</v>
      </c>
      <c r="AN59" s="16"/>
      <c r="AO59" s="8" t="s">
        <v>46</v>
      </c>
      <c r="AP59" s="8" t="s">
        <v>184</v>
      </c>
      <c r="AQ59" s="8">
        <v>1094</v>
      </c>
      <c r="AR59" s="9">
        <v>0.75</v>
      </c>
      <c r="AS59" s="125">
        <v>24</v>
      </c>
      <c r="AT59" s="10" t="s">
        <v>183</v>
      </c>
    </row>
    <row r="60" spans="37:46">
      <c r="AK60">
        <f t="shared" si="9"/>
        <v>8</v>
      </c>
      <c r="AL60">
        <f t="shared" si="0"/>
        <v>8</v>
      </c>
      <c r="AM60" s="31">
        <f t="shared" si="1"/>
        <v>808</v>
      </c>
      <c r="AN60" s="17"/>
      <c r="AO60" s="12" t="s">
        <v>46</v>
      </c>
      <c r="AP60" s="12" t="s">
        <v>51</v>
      </c>
      <c r="AQ60" s="12">
        <v>101303</v>
      </c>
      <c r="AR60" s="13">
        <v>0.25</v>
      </c>
      <c r="AS60" s="126">
        <v>43</v>
      </c>
      <c r="AT60" s="14" t="s">
        <v>183</v>
      </c>
    </row>
    <row r="61" spans="37:46">
      <c r="AK61">
        <f t="shared" si="9"/>
        <v>9</v>
      </c>
      <c r="AL61">
        <f t="shared" si="0"/>
        <v>1</v>
      </c>
      <c r="AM61" s="29">
        <f t="shared" si="1"/>
        <v>901</v>
      </c>
      <c r="AN61" s="15"/>
      <c r="AO61" s="4" t="s">
        <v>75</v>
      </c>
      <c r="AP61" s="4" t="s">
        <v>76</v>
      </c>
      <c r="AQ61" s="4">
        <v>119</v>
      </c>
      <c r="AR61" s="5">
        <v>0.75</v>
      </c>
      <c r="AS61" s="124">
        <v>14</v>
      </c>
      <c r="AT61" s="6" t="s">
        <v>183</v>
      </c>
    </row>
    <row r="62" spans="37:46">
      <c r="AK62">
        <f t="shared" si="9"/>
        <v>9</v>
      </c>
      <c r="AL62">
        <f t="shared" si="0"/>
        <v>2</v>
      </c>
      <c r="AM62" s="30">
        <f t="shared" si="1"/>
        <v>902</v>
      </c>
      <c r="AN62" s="16"/>
      <c r="AO62" s="8" t="s">
        <v>75</v>
      </c>
      <c r="AP62" s="8" t="s">
        <v>77</v>
      </c>
      <c r="AQ62" s="8">
        <v>127</v>
      </c>
      <c r="AR62" s="9">
        <v>0.75</v>
      </c>
      <c r="AS62" s="125">
        <v>7</v>
      </c>
      <c r="AT62" s="10" t="s">
        <v>183</v>
      </c>
    </row>
    <row r="63" spans="37:46">
      <c r="AK63">
        <f t="shared" si="9"/>
        <v>9</v>
      </c>
      <c r="AL63">
        <f t="shared" si="0"/>
        <v>3</v>
      </c>
      <c r="AM63" s="30">
        <f t="shared" si="1"/>
        <v>903</v>
      </c>
      <c r="AN63" s="16"/>
      <c r="AO63" s="8" t="s">
        <v>75</v>
      </c>
      <c r="AP63" s="8" t="s">
        <v>78</v>
      </c>
      <c r="AQ63" s="8">
        <v>160</v>
      </c>
      <c r="AR63" s="9">
        <v>2</v>
      </c>
      <c r="AS63" s="125">
        <v>3</v>
      </c>
      <c r="AT63" s="10" t="s">
        <v>183</v>
      </c>
    </row>
    <row r="64" spans="37:46">
      <c r="AK64">
        <f t="shared" si="9"/>
        <v>9</v>
      </c>
      <c r="AL64">
        <f t="shared" si="0"/>
        <v>4</v>
      </c>
      <c r="AM64" s="30">
        <f t="shared" si="1"/>
        <v>904</v>
      </c>
      <c r="AN64" s="16"/>
      <c r="AO64" s="8" t="s">
        <v>75</v>
      </c>
      <c r="AP64" s="8" t="s">
        <v>79</v>
      </c>
      <c r="AQ64" s="8">
        <v>197</v>
      </c>
      <c r="AR64" s="9">
        <v>0.75</v>
      </c>
      <c r="AS64" s="125">
        <v>14</v>
      </c>
      <c r="AT64" s="10" t="s">
        <v>183</v>
      </c>
    </row>
    <row r="65" spans="37:46">
      <c r="AK65">
        <f t="shared" si="9"/>
        <v>9</v>
      </c>
      <c r="AL65">
        <f t="shared" si="0"/>
        <v>5</v>
      </c>
      <c r="AM65" s="30">
        <f t="shared" si="1"/>
        <v>905</v>
      </c>
      <c r="AN65" s="16"/>
      <c r="AO65" s="8" t="s">
        <v>75</v>
      </c>
      <c r="AP65" s="8" t="s">
        <v>80</v>
      </c>
      <c r="AQ65" s="8">
        <v>141</v>
      </c>
      <c r="AR65" s="9">
        <v>0.5</v>
      </c>
      <c r="AS65" s="125">
        <v>13</v>
      </c>
      <c r="AT65" s="10" t="s">
        <v>183</v>
      </c>
    </row>
    <row r="66" spans="37:46">
      <c r="AK66">
        <f t="shared" si="9"/>
        <v>9</v>
      </c>
      <c r="AL66">
        <f t="shared" ref="AL66:AL109" si="38">IF(AO66=AO65,AL65+1,1)</f>
        <v>6</v>
      </c>
      <c r="AM66" s="30">
        <f t="shared" ref="AM66:AM109" si="39">AK66*100+AL66</f>
        <v>906</v>
      </c>
      <c r="AN66" s="16"/>
      <c r="AO66" s="8" t="s">
        <v>75</v>
      </c>
      <c r="AP66" s="8" t="s">
        <v>81</v>
      </c>
      <c r="AQ66" s="8">
        <v>484</v>
      </c>
      <c r="AR66" s="9">
        <v>2</v>
      </c>
      <c r="AS66" s="125">
        <v>9</v>
      </c>
      <c r="AT66" s="10" t="s">
        <v>183</v>
      </c>
    </row>
    <row r="67" spans="37:46">
      <c r="AK67">
        <f t="shared" ref="AK67:AK109" si="40">IF(AO67=AO66,AK66,AK66+1)</f>
        <v>9</v>
      </c>
      <c r="AL67">
        <f t="shared" si="38"/>
        <v>7</v>
      </c>
      <c r="AM67" s="30">
        <f t="shared" si="39"/>
        <v>907</v>
      </c>
      <c r="AN67" s="16"/>
      <c r="AO67" s="8" t="s">
        <v>75</v>
      </c>
      <c r="AP67" s="8" t="s">
        <v>82</v>
      </c>
      <c r="AQ67" s="8">
        <v>1081</v>
      </c>
      <c r="AR67" s="9">
        <v>0.25</v>
      </c>
      <c r="AS67" s="125">
        <v>12</v>
      </c>
      <c r="AT67" s="10" t="s">
        <v>183</v>
      </c>
    </row>
    <row r="68" spans="37:46">
      <c r="AK68">
        <f t="shared" si="40"/>
        <v>9</v>
      </c>
      <c r="AL68">
        <f t="shared" si="38"/>
        <v>8</v>
      </c>
      <c r="AM68" s="30">
        <f t="shared" si="39"/>
        <v>908</v>
      </c>
      <c r="AN68" s="16"/>
      <c r="AO68" s="8" t="s">
        <v>75</v>
      </c>
      <c r="AP68" s="8" t="s">
        <v>83</v>
      </c>
      <c r="AQ68" s="8">
        <v>1207</v>
      </c>
      <c r="AR68" s="9">
        <v>0.75</v>
      </c>
      <c r="AS68" s="125">
        <v>21</v>
      </c>
      <c r="AT68" s="10" t="s">
        <v>183</v>
      </c>
    </row>
    <row r="69" spans="37:46">
      <c r="AK69">
        <f t="shared" si="40"/>
        <v>9</v>
      </c>
      <c r="AL69">
        <f t="shared" si="38"/>
        <v>9</v>
      </c>
      <c r="AM69" s="30">
        <f t="shared" si="39"/>
        <v>909</v>
      </c>
      <c r="AN69" s="16"/>
      <c r="AO69" s="8" t="s">
        <v>75</v>
      </c>
      <c r="AP69" s="8" t="s">
        <v>84</v>
      </c>
      <c r="AQ69" s="8">
        <v>1076</v>
      </c>
      <c r="AR69" s="9">
        <v>0.5</v>
      </c>
      <c r="AS69" s="125">
        <v>31</v>
      </c>
      <c r="AT69" s="10" t="s">
        <v>181</v>
      </c>
    </row>
    <row r="70" spans="37:46">
      <c r="AK70">
        <f t="shared" si="40"/>
        <v>9</v>
      </c>
      <c r="AL70">
        <f t="shared" si="38"/>
        <v>10</v>
      </c>
      <c r="AM70" s="30">
        <f t="shared" si="39"/>
        <v>910</v>
      </c>
      <c r="AN70" s="16"/>
      <c r="AO70" s="8" t="s">
        <v>75</v>
      </c>
      <c r="AP70" s="8" t="s">
        <v>85</v>
      </c>
      <c r="AQ70" s="8">
        <v>81310</v>
      </c>
      <c r="AR70" s="9">
        <v>1.5</v>
      </c>
      <c r="AS70" s="125">
        <v>15</v>
      </c>
      <c r="AT70" s="10" t="s">
        <v>183</v>
      </c>
    </row>
    <row r="71" spans="37:46">
      <c r="AK71">
        <f t="shared" si="40"/>
        <v>9</v>
      </c>
      <c r="AL71">
        <f t="shared" si="38"/>
        <v>11</v>
      </c>
      <c r="AM71" s="30">
        <f t="shared" si="39"/>
        <v>911</v>
      </c>
      <c r="AN71" s="16"/>
      <c r="AO71" s="8" t="s">
        <v>75</v>
      </c>
      <c r="AP71" s="8" t="s">
        <v>86</v>
      </c>
      <c r="AQ71" s="8">
        <v>81197</v>
      </c>
      <c r="AR71" s="9">
        <v>2</v>
      </c>
      <c r="AS71" s="125">
        <v>38</v>
      </c>
      <c r="AT71" s="10" t="s">
        <v>183</v>
      </c>
    </row>
    <row r="72" spans="37:46">
      <c r="AK72">
        <f t="shared" si="40"/>
        <v>9</v>
      </c>
      <c r="AL72">
        <f t="shared" si="38"/>
        <v>12</v>
      </c>
      <c r="AM72" s="30">
        <f t="shared" si="39"/>
        <v>912</v>
      </c>
      <c r="AN72" s="16"/>
      <c r="AO72" s="8" t="s">
        <v>75</v>
      </c>
      <c r="AP72" s="8" t="s">
        <v>87</v>
      </c>
      <c r="AQ72" s="8">
        <v>81200</v>
      </c>
      <c r="AR72" s="9">
        <v>2</v>
      </c>
      <c r="AS72" s="125">
        <v>26</v>
      </c>
      <c r="AT72" s="10" t="s">
        <v>183</v>
      </c>
    </row>
    <row r="73" spans="37:46">
      <c r="AK73">
        <f t="shared" si="40"/>
        <v>9</v>
      </c>
      <c r="AL73">
        <f t="shared" si="38"/>
        <v>13</v>
      </c>
      <c r="AM73" s="31">
        <f t="shared" si="39"/>
        <v>913</v>
      </c>
      <c r="AN73" s="17"/>
      <c r="AO73" s="12" t="s">
        <v>75</v>
      </c>
      <c r="AP73" s="12" t="s">
        <v>88</v>
      </c>
      <c r="AQ73" s="12">
        <v>101418</v>
      </c>
      <c r="AR73" s="13">
        <v>0.65</v>
      </c>
      <c r="AS73" s="126">
        <v>19</v>
      </c>
      <c r="AT73" s="14" t="s">
        <v>183</v>
      </c>
    </row>
    <row r="74" spans="37:46">
      <c r="AK74">
        <f t="shared" si="40"/>
        <v>10</v>
      </c>
      <c r="AL74">
        <f t="shared" si="38"/>
        <v>1</v>
      </c>
      <c r="AM74" s="29">
        <f t="shared" si="39"/>
        <v>1001</v>
      </c>
      <c r="AN74" s="15"/>
      <c r="AO74" s="4" t="s">
        <v>120</v>
      </c>
      <c r="AP74" s="4" t="s">
        <v>96</v>
      </c>
      <c r="AQ74" s="4">
        <v>106</v>
      </c>
      <c r="AR74" s="5">
        <v>1.5</v>
      </c>
      <c r="AS74" s="124">
        <v>14</v>
      </c>
      <c r="AT74" s="6" t="s">
        <v>183</v>
      </c>
    </row>
    <row r="75" spans="37:46">
      <c r="AK75">
        <f t="shared" si="40"/>
        <v>10</v>
      </c>
      <c r="AL75">
        <f t="shared" si="38"/>
        <v>2</v>
      </c>
      <c r="AM75" s="30">
        <f t="shared" si="39"/>
        <v>1002</v>
      </c>
      <c r="AN75" s="16"/>
      <c r="AO75" s="8" t="s">
        <v>120</v>
      </c>
      <c r="AP75" s="8" t="s">
        <v>97</v>
      </c>
      <c r="AQ75" s="8">
        <v>134</v>
      </c>
      <c r="AR75" s="9">
        <v>1.5</v>
      </c>
      <c r="AS75" s="125">
        <v>5</v>
      </c>
      <c r="AT75" s="10" t="s">
        <v>183</v>
      </c>
    </row>
    <row r="76" spans="37:46">
      <c r="AK76">
        <f t="shared" si="40"/>
        <v>10</v>
      </c>
      <c r="AL76">
        <f t="shared" si="38"/>
        <v>3</v>
      </c>
      <c r="AM76" s="30">
        <f t="shared" si="39"/>
        <v>1003</v>
      </c>
      <c r="AN76" s="16"/>
      <c r="AO76" s="8" t="s">
        <v>120</v>
      </c>
      <c r="AP76" s="8" t="s">
        <v>98</v>
      </c>
      <c r="AQ76" s="8">
        <v>161</v>
      </c>
      <c r="AR76" s="9">
        <v>1.5</v>
      </c>
      <c r="AS76" s="125">
        <v>13</v>
      </c>
      <c r="AT76" s="10" t="s">
        <v>183</v>
      </c>
    </row>
    <row r="77" spans="37:46">
      <c r="AK77">
        <f t="shared" si="40"/>
        <v>10</v>
      </c>
      <c r="AL77">
        <f t="shared" si="38"/>
        <v>4</v>
      </c>
      <c r="AM77" s="30">
        <f t="shared" si="39"/>
        <v>1004</v>
      </c>
      <c r="AN77" s="16"/>
      <c r="AO77" s="8" t="s">
        <v>120</v>
      </c>
      <c r="AP77" s="8" t="s">
        <v>99</v>
      </c>
      <c r="AQ77" s="8">
        <v>207</v>
      </c>
      <c r="AR77" s="9">
        <v>1.5</v>
      </c>
      <c r="AS77" s="125">
        <v>11</v>
      </c>
      <c r="AT77" s="10" t="s">
        <v>183</v>
      </c>
    </row>
    <row r="78" spans="37:46">
      <c r="AK78">
        <f t="shared" si="40"/>
        <v>10</v>
      </c>
      <c r="AL78">
        <f t="shared" si="38"/>
        <v>5</v>
      </c>
      <c r="AM78" s="30">
        <f t="shared" si="39"/>
        <v>1005</v>
      </c>
      <c r="AN78" s="16"/>
      <c r="AO78" s="8" t="s">
        <v>120</v>
      </c>
      <c r="AP78" s="8" t="s">
        <v>100</v>
      </c>
      <c r="AQ78" s="8">
        <v>266</v>
      </c>
      <c r="AR78" s="9">
        <v>1.5</v>
      </c>
      <c r="AS78" s="125">
        <v>9</v>
      </c>
      <c r="AT78" s="10" t="s">
        <v>183</v>
      </c>
    </row>
    <row r="79" spans="37:46">
      <c r="AK79">
        <f t="shared" si="40"/>
        <v>10</v>
      </c>
      <c r="AL79">
        <f t="shared" si="38"/>
        <v>6</v>
      </c>
      <c r="AM79" s="30">
        <f t="shared" si="39"/>
        <v>1006</v>
      </c>
      <c r="AN79" s="16"/>
      <c r="AO79" s="8" t="s">
        <v>120</v>
      </c>
      <c r="AP79" s="8" t="s">
        <v>101</v>
      </c>
      <c r="AQ79" s="8">
        <v>409</v>
      </c>
      <c r="AR79" s="9">
        <v>1.5</v>
      </c>
      <c r="AS79" s="125">
        <v>18</v>
      </c>
      <c r="AT79" s="10" t="s">
        <v>183</v>
      </c>
    </row>
    <row r="80" spans="37:46">
      <c r="AK80">
        <f t="shared" si="40"/>
        <v>10</v>
      </c>
      <c r="AL80">
        <f t="shared" si="38"/>
        <v>7</v>
      </c>
      <c r="AM80" s="31">
        <f t="shared" si="39"/>
        <v>1007</v>
      </c>
      <c r="AN80" s="17"/>
      <c r="AO80" s="12" t="s">
        <v>120</v>
      </c>
      <c r="AP80" s="12" t="s">
        <v>102</v>
      </c>
      <c r="AQ80" s="12">
        <v>1458</v>
      </c>
      <c r="AR80" s="13">
        <v>0.5</v>
      </c>
      <c r="AS80" s="126">
        <v>30</v>
      </c>
      <c r="AT80" s="14" t="s">
        <v>181</v>
      </c>
    </row>
    <row r="81" spans="37:46">
      <c r="AK81">
        <f t="shared" si="40"/>
        <v>11</v>
      </c>
      <c r="AL81">
        <f t="shared" si="38"/>
        <v>1</v>
      </c>
      <c r="AM81" s="29">
        <f t="shared" si="39"/>
        <v>1101</v>
      </c>
      <c r="AN81" s="15"/>
      <c r="AO81" s="4" t="s">
        <v>67</v>
      </c>
      <c r="AP81" s="4" t="s">
        <v>68</v>
      </c>
      <c r="AQ81" s="4">
        <v>157</v>
      </c>
      <c r="AR81" s="5">
        <v>0.35</v>
      </c>
      <c r="AS81" s="124">
        <v>2</v>
      </c>
      <c r="AT81" s="6" t="s">
        <v>181</v>
      </c>
    </row>
    <row r="82" spans="37:46">
      <c r="AK82">
        <f t="shared" si="40"/>
        <v>11</v>
      </c>
      <c r="AL82">
        <f t="shared" si="38"/>
        <v>2</v>
      </c>
      <c r="AM82" s="30">
        <f t="shared" si="39"/>
        <v>1102</v>
      </c>
      <c r="AN82" s="16"/>
      <c r="AO82" s="8" t="s">
        <v>67</v>
      </c>
      <c r="AP82" s="8" t="s">
        <v>69</v>
      </c>
      <c r="AQ82" s="8">
        <v>314</v>
      </c>
      <c r="AR82" s="9">
        <v>0.75</v>
      </c>
      <c r="AS82" s="125">
        <v>7</v>
      </c>
      <c r="AT82" s="10" t="s">
        <v>183</v>
      </c>
    </row>
    <row r="83" spans="37:46">
      <c r="AK83">
        <f t="shared" si="40"/>
        <v>11</v>
      </c>
      <c r="AL83">
        <f t="shared" si="38"/>
        <v>3</v>
      </c>
      <c r="AM83" s="30">
        <f t="shared" si="39"/>
        <v>1103</v>
      </c>
      <c r="AN83" s="16"/>
      <c r="AO83" s="8" t="s">
        <v>67</v>
      </c>
      <c r="AP83" s="8" t="s">
        <v>70</v>
      </c>
      <c r="AQ83" s="8">
        <v>274</v>
      </c>
      <c r="AR83" s="9">
        <v>0.35</v>
      </c>
      <c r="AS83" s="125">
        <v>11</v>
      </c>
      <c r="AT83" s="10" t="s">
        <v>181</v>
      </c>
    </row>
    <row r="84" spans="37:46">
      <c r="AK84">
        <f t="shared" si="40"/>
        <v>11</v>
      </c>
      <c r="AL84">
        <f t="shared" si="38"/>
        <v>4</v>
      </c>
      <c r="AM84" s="30">
        <f t="shared" si="39"/>
        <v>1104</v>
      </c>
      <c r="AN84" s="16"/>
      <c r="AO84" s="8" t="s">
        <v>67</v>
      </c>
      <c r="AP84" s="8" t="s">
        <v>165</v>
      </c>
      <c r="AQ84" s="8">
        <v>260</v>
      </c>
      <c r="AR84" s="9">
        <v>0.75</v>
      </c>
      <c r="AS84" s="125">
        <v>0</v>
      </c>
      <c r="AT84" s="10" t="s">
        <v>181</v>
      </c>
    </row>
    <row r="85" spans="37:46">
      <c r="AK85">
        <f t="shared" si="40"/>
        <v>11</v>
      </c>
      <c r="AL85">
        <f t="shared" si="38"/>
        <v>5</v>
      </c>
      <c r="AM85" s="30">
        <f t="shared" si="39"/>
        <v>1105</v>
      </c>
      <c r="AN85" s="16"/>
      <c r="AO85" s="8" t="s">
        <v>67</v>
      </c>
      <c r="AP85" s="8" t="s">
        <v>166</v>
      </c>
      <c r="AQ85" s="8">
        <v>352</v>
      </c>
      <c r="AR85" s="9">
        <v>0.5</v>
      </c>
      <c r="AS85" s="125">
        <v>8</v>
      </c>
      <c r="AT85" s="10" t="s">
        <v>183</v>
      </c>
    </row>
    <row r="86" spans="37:46">
      <c r="AK86">
        <f t="shared" si="40"/>
        <v>11</v>
      </c>
      <c r="AL86">
        <f t="shared" si="38"/>
        <v>6</v>
      </c>
      <c r="AM86" s="31">
        <f t="shared" si="39"/>
        <v>1106</v>
      </c>
      <c r="AN86" s="17"/>
      <c r="AO86" s="12" t="s">
        <v>67</v>
      </c>
      <c r="AP86" s="12" t="s">
        <v>164</v>
      </c>
      <c r="AQ86" s="12">
        <v>380</v>
      </c>
      <c r="AR86" s="13">
        <v>0.2</v>
      </c>
      <c r="AS86" s="126">
        <v>9</v>
      </c>
      <c r="AT86" s="14" t="s">
        <v>183</v>
      </c>
    </row>
    <row r="87" spans="37:46">
      <c r="AK87">
        <f t="shared" si="40"/>
        <v>12</v>
      </c>
      <c r="AL87">
        <f t="shared" si="38"/>
        <v>1</v>
      </c>
      <c r="AM87" s="29">
        <f t="shared" si="39"/>
        <v>1201</v>
      </c>
      <c r="AN87" s="15"/>
      <c r="AO87" s="4" t="s">
        <v>71</v>
      </c>
      <c r="AP87" s="4" t="s">
        <v>72</v>
      </c>
      <c r="AQ87" s="4">
        <v>296</v>
      </c>
      <c r="AR87" s="5">
        <v>0.65</v>
      </c>
      <c r="AS87" s="124">
        <v>9</v>
      </c>
      <c r="AT87" s="6" t="s">
        <v>183</v>
      </c>
    </row>
    <row r="88" spans="37:46">
      <c r="AK88">
        <f t="shared" si="40"/>
        <v>12</v>
      </c>
      <c r="AL88">
        <f t="shared" si="38"/>
        <v>2</v>
      </c>
      <c r="AM88" s="30">
        <f t="shared" si="39"/>
        <v>1202</v>
      </c>
      <c r="AN88" s="16"/>
      <c r="AO88" s="8" t="s">
        <v>71</v>
      </c>
      <c r="AP88" s="8" t="s">
        <v>73</v>
      </c>
      <c r="AQ88" s="8">
        <v>288</v>
      </c>
      <c r="AR88" s="9">
        <v>0.75</v>
      </c>
      <c r="AS88" s="125">
        <v>26</v>
      </c>
      <c r="AT88" s="10" t="s">
        <v>183</v>
      </c>
    </row>
    <row r="89" spans="37:46">
      <c r="AK89">
        <f t="shared" si="40"/>
        <v>12</v>
      </c>
      <c r="AL89">
        <f t="shared" si="38"/>
        <v>3</v>
      </c>
      <c r="AM89" s="31">
        <f t="shared" si="39"/>
        <v>1203</v>
      </c>
      <c r="AN89" s="17"/>
      <c r="AO89" s="12" t="s">
        <v>71</v>
      </c>
      <c r="AP89" s="12" t="s">
        <v>74</v>
      </c>
      <c r="AQ89" s="12">
        <v>852</v>
      </c>
      <c r="AR89" s="13">
        <v>0.75</v>
      </c>
      <c r="AS89" s="126">
        <v>21</v>
      </c>
      <c r="AT89" s="14" t="s">
        <v>182</v>
      </c>
    </row>
    <row r="90" spans="37:46">
      <c r="AK90">
        <f t="shared" si="40"/>
        <v>13</v>
      </c>
      <c r="AL90">
        <f t="shared" si="38"/>
        <v>1</v>
      </c>
      <c r="AM90" s="29">
        <f t="shared" si="39"/>
        <v>1301</v>
      </c>
      <c r="AN90" s="15"/>
      <c r="AO90" s="4" t="s">
        <v>119</v>
      </c>
      <c r="AP90" s="4" t="s">
        <v>103</v>
      </c>
      <c r="AQ90" s="4">
        <v>145</v>
      </c>
      <c r="AR90" s="5">
        <v>0.75</v>
      </c>
      <c r="AS90" s="124">
        <v>18</v>
      </c>
      <c r="AT90" s="6" t="s">
        <v>183</v>
      </c>
    </row>
    <row r="91" spans="37:46">
      <c r="AK91">
        <f t="shared" si="40"/>
        <v>13</v>
      </c>
      <c r="AL91">
        <f t="shared" si="38"/>
        <v>2</v>
      </c>
      <c r="AM91" s="30">
        <f t="shared" si="39"/>
        <v>1302</v>
      </c>
      <c r="AN91" s="16"/>
      <c r="AO91" s="8" t="s">
        <v>119</v>
      </c>
      <c r="AP91" s="8" t="s">
        <v>104</v>
      </c>
      <c r="AQ91" s="8">
        <v>180</v>
      </c>
      <c r="AR91" s="9">
        <v>2</v>
      </c>
      <c r="AS91" s="125">
        <v>17</v>
      </c>
      <c r="AT91" s="10" t="s">
        <v>183</v>
      </c>
    </row>
    <row r="92" spans="37:46">
      <c r="AK92">
        <f t="shared" si="40"/>
        <v>13</v>
      </c>
      <c r="AL92">
        <f t="shared" si="38"/>
        <v>3</v>
      </c>
      <c r="AM92" s="30">
        <f t="shared" si="39"/>
        <v>1303</v>
      </c>
      <c r="AN92" s="16"/>
      <c r="AO92" s="8" t="s">
        <v>119</v>
      </c>
      <c r="AP92" s="8" t="s">
        <v>105</v>
      </c>
      <c r="AQ92" s="8">
        <v>196</v>
      </c>
      <c r="AR92" s="9">
        <v>0.75</v>
      </c>
      <c r="AS92" s="125">
        <v>23</v>
      </c>
      <c r="AT92" s="10" t="s">
        <v>183</v>
      </c>
    </row>
    <row r="93" spans="37:46">
      <c r="AK93">
        <f t="shared" si="40"/>
        <v>13</v>
      </c>
      <c r="AL93">
        <f t="shared" si="38"/>
        <v>4</v>
      </c>
      <c r="AM93" s="30">
        <f t="shared" si="39"/>
        <v>1304</v>
      </c>
      <c r="AN93" s="16"/>
      <c r="AO93" s="8" t="s">
        <v>119</v>
      </c>
      <c r="AP93" s="8" t="s">
        <v>106</v>
      </c>
      <c r="AQ93" s="8">
        <v>341</v>
      </c>
      <c r="AR93" s="9">
        <v>0.75</v>
      </c>
      <c r="AS93" s="125">
        <v>26</v>
      </c>
      <c r="AT93" s="10" t="s">
        <v>183</v>
      </c>
    </row>
    <row r="94" spans="37:46">
      <c r="AK94">
        <f t="shared" si="40"/>
        <v>13</v>
      </c>
      <c r="AL94">
        <f t="shared" si="38"/>
        <v>5</v>
      </c>
      <c r="AM94" s="30">
        <f t="shared" si="39"/>
        <v>1305</v>
      </c>
      <c r="AN94" s="16"/>
      <c r="AO94" s="8" t="s">
        <v>119</v>
      </c>
      <c r="AP94" s="8" t="s">
        <v>107</v>
      </c>
      <c r="AQ94" s="8">
        <v>563</v>
      </c>
      <c r="AR94" s="9">
        <v>0.75</v>
      </c>
      <c r="AS94" s="125">
        <v>33</v>
      </c>
      <c r="AT94" s="10" t="s">
        <v>183</v>
      </c>
    </row>
    <row r="95" spans="37:46">
      <c r="AK95">
        <f t="shared" si="40"/>
        <v>13</v>
      </c>
      <c r="AL95">
        <f t="shared" si="38"/>
        <v>6</v>
      </c>
      <c r="AM95" s="30">
        <f t="shared" si="39"/>
        <v>1306</v>
      </c>
      <c r="AN95" s="16"/>
      <c r="AO95" s="8" t="s">
        <v>119</v>
      </c>
      <c r="AP95" s="8" t="s">
        <v>168</v>
      </c>
      <c r="AQ95" s="8">
        <v>1139</v>
      </c>
      <c r="AR95" s="9">
        <v>1.1000000000000001</v>
      </c>
      <c r="AS95" s="125">
        <v>44</v>
      </c>
      <c r="AT95" s="10" t="s">
        <v>183</v>
      </c>
    </row>
    <row r="96" spans="37:46">
      <c r="AK96">
        <f t="shared" si="40"/>
        <v>13</v>
      </c>
      <c r="AL96">
        <f t="shared" si="38"/>
        <v>7</v>
      </c>
      <c r="AM96" s="31">
        <f t="shared" si="39"/>
        <v>1307</v>
      </c>
      <c r="AN96" s="17"/>
      <c r="AO96" s="12" t="s">
        <v>119</v>
      </c>
      <c r="AP96" s="12" t="s">
        <v>167</v>
      </c>
      <c r="AQ96" s="12">
        <v>795</v>
      </c>
      <c r="AR96" s="13">
        <v>0.5</v>
      </c>
      <c r="AS96" s="126">
        <v>19</v>
      </c>
      <c r="AT96" s="14" t="s">
        <v>183</v>
      </c>
    </row>
    <row r="97" spans="37:46">
      <c r="AK97">
        <f t="shared" si="40"/>
        <v>14</v>
      </c>
      <c r="AL97">
        <f t="shared" si="38"/>
        <v>1</v>
      </c>
      <c r="AM97" s="29">
        <f t="shared" si="39"/>
        <v>1401</v>
      </c>
      <c r="AN97" s="18"/>
      <c r="AO97" s="4" t="s">
        <v>122</v>
      </c>
      <c r="AP97" s="4" t="s">
        <v>108</v>
      </c>
      <c r="AQ97" s="4">
        <v>185</v>
      </c>
      <c r="AR97" s="5">
        <v>1</v>
      </c>
      <c r="AS97" s="124">
        <v>26</v>
      </c>
      <c r="AT97" s="6" t="s">
        <v>183</v>
      </c>
    </row>
    <row r="98" spans="37:46">
      <c r="AK98">
        <f t="shared" si="40"/>
        <v>14</v>
      </c>
      <c r="AL98">
        <f t="shared" si="38"/>
        <v>2</v>
      </c>
      <c r="AM98" s="30">
        <f t="shared" si="39"/>
        <v>1402</v>
      </c>
      <c r="AN98" s="19"/>
      <c r="AO98" s="8" t="s">
        <v>122</v>
      </c>
      <c r="AP98" s="8" t="s">
        <v>170</v>
      </c>
      <c r="AQ98" s="8">
        <v>562</v>
      </c>
      <c r="AR98" s="9">
        <v>0.75</v>
      </c>
      <c r="AS98" s="125">
        <v>10</v>
      </c>
      <c r="AT98" s="10" t="s">
        <v>183</v>
      </c>
    </row>
    <row r="99" spans="37:46">
      <c r="AK99">
        <f t="shared" si="40"/>
        <v>14</v>
      </c>
      <c r="AL99">
        <f t="shared" si="38"/>
        <v>3</v>
      </c>
      <c r="AM99" s="30">
        <f t="shared" si="39"/>
        <v>1403</v>
      </c>
      <c r="AN99" s="19"/>
      <c r="AO99" s="8" t="s">
        <v>122</v>
      </c>
      <c r="AP99" s="8" t="s">
        <v>169</v>
      </c>
      <c r="AQ99" s="8">
        <v>362</v>
      </c>
      <c r="AR99" s="9">
        <v>0.1</v>
      </c>
      <c r="AS99" s="125">
        <v>36</v>
      </c>
      <c r="AT99" s="10" t="s">
        <v>183</v>
      </c>
    </row>
    <row r="100" spans="37:46">
      <c r="AK100">
        <f t="shared" si="40"/>
        <v>14</v>
      </c>
      <c r="AL100">
        <f t="shared" si="38"/>
        <v>4</v>
      </c>
      <c r="AM100" s="31">
        <f t="shared" si="39"/>
        <v>1404</v>
      </c>
      <c r="AN100" s="20"/>
      <c r="AO100" s="12" t="s">
        <v>122</v>
      </c>
      <c r="AP100" s="12" t="s">
        <v>109</v>
      </c>
      <c r="AQ100" s="12">
        <v>1160</v>
      </c>
      <c r="AR100" s="13">
        <v>0.01</v>
      </c>
      <c r="AS100" s="126">
        <v>17</v>
      </c>
      <c r="AT100" s="14" t="s">
        <v>183</v>
      </c>
    </row>
    <row r="101" spans="37:46">
      <c r="AK101">
        <f t="shared" si="40"/>
        <v>15</v>
      </c>
      <c r="AL101">
        <f t="shared" si="38"/>
        <v>1</v>
      </c>
      <c r="AM101" s="29">
        <f t="shared" si="39"/>
        <v>1501</v>
      </c>
      <c r="AN101" s="18"/>
      <c r="AO101" s="4" t="s">
        <v>123</v>
      </c>
      <c r="AP101" s="4" t="s">
        <v>110</v>
      </c>
      <c r="AQ101" s="4">
        <v>103</v>
      </c>
      <c r="AR101" s="5">
        <v>0.75</v>
      </c>
      <c r="AS101" s="124">
        <v>12</v>
      </c>
      <c r="AT101" s="6" t="s">
        <v>183</v>
      </c>
    </row>
    <row r="102" spans="37:46">
      <c r="AK102">
        <f t="shared" si="40"/>
        <v>15</v>
      </c>
      <c r="AL102">
        <f t="shared" si="38"/>
        <v>2</v>
      </c>
      <c r="AM102" s="30">
        <f t="shared" si="39"/>
        <v>1502</v>
      </c>
      <c r="AN102" s="19"/>
      <c r="AO102" s="8" t="s">
        <v>123</v>
      </c>
      <c r="AP102" s="8" t="s">
        <v>111</v>
      </c>
      <c r="AQ102" s="8">
        <v>139</v>
      </c>
      <c r="AR102" s="9">
        <v>0.75</v>
      </c>
      <c r="AS102" s="125">
        <v>18</v>
      </c>
      <c r="AT102" s="10" t="s">
        <v>183</v>
      </c>
    </row>
    <row r="103" spans="37:46">
      <c r="AK103">
        <f t="shared" si="40"/>
        <v>15</v>
      </c>
      <c r="AL103">
        <f t="shared" si="38"/>
        <v>3</v>
      </c>
      <c r="AM103" s="30">
        <f t="shared" si="39"/>
        <v>1503</v>
      </c>
      <c r="AN103" s="19"/>
      <c r="AO103" s="8" t="s">
        <v>123</v>
      </c>
      <c r="AP103" s="8" t="s">
        <v>112</v>
      </c>
      <c r="AQ103" s="8">
        <v>156</v>
      </c>
      <c r="AR103" s="9">
        <v>0.75</v>
      </c>
      <c r="AS103" s="125">
        <v>17</v>
      </c>
      <c r="AT103" s="10" t="s">
        <v>183</v>
      </c>
    </row>
    <row r="104" spans="37:46">
      <c r="AK104">
        <f t="shared" si="40"/>
        <v>15</v>
      </c>
      <c r="AL104">
        <f t="shared" si="38"/>
        <v>4</v>
      </c>
      <c r="AM104" s="30">
        <f t="shared" si="39"/>
        <v>1504</v>
      </c>
      <c r="AN104" s="19"/>
      <c r="AO104" s="8" t="s">
        <v>123</v>
      </c>
      <c r="AP104" s="8" t="s">
        <v>113</v>
      </c>
      <c r="AQ104" s="8">
        <v>268</v>
      </c>
      <c r="AR104" s="9">
        <v>2</v>
      </c>
      <c r="AS104" s="125">
        <v>13</v>
      </c>
      <c r="AT104" s="10" t="s">
        <v>183</v>
      </c>
    </row>
    <row r="105" spans="37:46">
      <c r="AK105">
        <f t="shared" si="40"/>
        <v>15</v>
      </c>
      <c r="AL105">
        <f t="shared" si="38"/>
        <v>5</v>
      </c>
      <c r="AM105" s="31">
        <f t="shared" si="39"/>
        <v>1505</v>
      </c>
      <c r="AN105" s="20"/>
      <c r="AO105" s="12" t="s">
        <v>123</v>
      </c>
      <c r="AP105" s="12" t="s">
        <v>114</v>
      </c>
      <c r="AQ105" s="12">
        <v>556</v>
      </c>
      <c r="AR105" s="13">
        <v>1</v>
      </c>
      <c r="AS105" s="126">
        <v>14</v>
      </c>
      <c r="AT105" s="14" t="s">
        <v>183</v>
      </c>
    </row>
    <row r="106" spans="37:46">
      <c r="AK106">
        <f t="shared" si="40"/>
        <v>16</v>
      </c>
      <c r="AL106">
        <f t="shared" si="38"/>
        <v>1</v>
      </c>
      <c r="AM106" s="29">
        <f t="shared" si="39"/>
        <v>1601</v>
      </c>
      <c r="AN106" s="18"/>
      <c r="AO106" s="4" t="s">
        <v>124</v>
      </c>
      <c r="AP106" s="4" t="s">
        <v>115</v>
      </c>
      <c r="AQ106" s="4">
        <v>88</v>
      </c>
      <c r="AR106" s="5">
        <v>0.75</v>
      </c>
      <c r="AS106" s="124">
        <v>0</v>
      </c>
      <c r="AT106" s="6" t="s">
        <v>183</v>
      </c>
    </row>
    <row r="107" spans="37:46">
      <c r="AK107">
        <f t="shared" si="40"/>
        <v>16</v>
      </c>
      <c r="AL107">
        <f t="shared" si="38"/>
        <v>2</v>
      </c>
      <c r="AM107" s="30">
        <f t="shared" si="39"/>
        <v>1602</v>
      </c>
      <c r="AN107" s="19"/>
      <c r="AO107" s="8" t="s">
        <v>124</v>
      </c>
      <c r="AP107" s="8" t="s">
        <v>116</v>
      </c>
      <c r="AQ107" s="8">
        <v>213</v>
      </c>
      <c r="AR107" s="9">
        <v>1.5</v>
      </c>
      <c r="AS107" s="125">
        <v>6</v>
      </c>
      <c r="AT107" s="10" t="s">
        <v>183</v>
      </c>
    </row>
    <row r="108" spans="37:46">
      <c r="AK108">
        <f t="shared" si="40"/>
        <v>16</v>
      </c>
      <c r="AL108">
        <f t="shared" si="38"/>
        <v>3</v>
      </c>
      <c r="AM108" s="30">
        <f t="shared" si="39"/>
        <v>1603</v>
      </c>
      <c r="AN108" s="19"/>
      <c r="AO108" s="8" t="s">
        <v>124</v>
      </c>
      <c r="AP108" s="8" t="s">
        <v>117</v>
      </c>
      <c r="AQ108" s="8">
        <v>871</v>
      </c>
      <c r="AR108" s="9">
        <v>1.5</v>
      </c>
      <c r="AS108" s="125">
        <v>17</v>
      </c>
      <c r="AT108" s="10" t="s">
        <v>183</v>
      </c>
    </row>
    <row r="109" spans="37:46">
      <c r="AK109">
        <f t="shared" si="40"/>
        <v>16</v>
      </c>
      <c r="AL109">
        <f t="shared" si="38"/>
        <v>4</v>
      </c>
      <c r="AM109" s="31">
        <f t="shared" si="39"/>
        <v>1604</v>
      </c>
      <c r="AN109" s="20"/>
      <c r="AO109" s="12" t="s">
        <v>124</v>
      </c>
      <c r="AP109" s="12" t="s">
        <v>118</v>
      </c>
      <c r="AQ109" s="12">
        <v>1570</v>
      </c>
      <c r="AR109" s="13">
        <v>0.5</v>
      </c>
      <c r="AS109" s="126">
        <v>54</v>
      </c>
      <c r="AT109" s="14" t="s">
        <v>183</v>
      </c>
    </row>
  </sheetData>
  <mergeCells count="6">
    <mergeCell ref="G15:G16"/>
    <mergeCell ref="B10:D10"/>
    <mergeCell ref="G4:G6"/>
    <mergeCell ref="G7:G9"/>
    <mergeCell ref="G10:G12"/>
    <mergeCell ref="G13:G14"/>
  </mergeCells>
  <phoneticPr fontId="2"/>
  <conditionalFormatting sqref="G27:J36">
    <cfRule type="expression" dxfId="1" priority="1">
      <formula>$F27&lt;=G27</formula>
    </cfRule>
    <cfRule type="expression" dxfId="0" priority="2">
      <formula>$F27&gt;G27</formula>
    </cfRule>
  </conditionalFormatting>
  <pageMargins left="0.19685039370078741" right="0.19685039370078741" top="0.35433070866141736" bottom="0.15748031496062992" header="0.31496062992125984" footer="0.11811023622047245"/>
  <pageSetup paperSize="9" orientation="landscape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南国ビーチ用</vt:lpstr>
      <vt:lpstr>通常用計算機</vt:lpstr>
      <vt:lpstr>　　</vt:lpstr>
      <vt:lpstr>南国ビーチ(耐性HP換算タイプ)</vt:lpstr>
    </vt:vector>
  </TitlesOfParts>
  <Company>想像の覚書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(#ﾟДﾟ) ﾌﾟﾝｽｺ！</dc:creator>
  <cp:lastModifiedBy>pumsco</cp:lastModifiedBy>
  <cp:lastPrinted>2012-03-03T12:35:06Z</cp:lastPrinted>
  <dcterms:created xsi:type="dcterms:W3CDTF">2012-02-21T16:20:36Z</dcterms:created>
  <dcterms:modified xsi:type="dcterms:W3CDTF">2012-03-03T20:01:13Z</dcterms:modified>
</cp:coreProperties>
</file>